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feiffer/Documents/Wayne/Performance/BioPhylo/RAxML/"/>
    </mc:Choice>
  </mc:AlternateContent>
  <xr:revisionPtr revIDLastSave="0" documentId="13_ncr:1_{CFA24697-3CEC-AB4B-9CBA-5ADE28BE02B9}" xr6:coauthVersionLast="45" xr6:coauthVersionMax="45" xr10:uidLastSave="{00000000-0000-0000-0000-000000000000}"/>
  <bookViews>
    <workbookView xWindow="260" yWindow="500" windowWidth="35160" windowHeight="20680" tabRatio="500" xr2:uid="{00000000-000D-0000-FFFF-FFFF00000000}"/>
  </bookViews>
  <sheets>
    <sheet name="All-in-one searches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3" i="3" l="1"/>
  <c r="T53" i="3"/>
  <c r="U53" i="3"/>
  <c r="V53" i="3"/>
  <c r="Q53" i="3"/>
  <c r="P53" i="3"/>
  <c r="U52" i="3"/>
  <c r="V52" i="3"/>
  <c r="T52" i="3"/>
  <c r="Q52" i="3"/>
  <c r="P52" i="3"/>
  <c r="Q51" i="3"/>
  <c r="W49" i="3"/>
  <c r="U48" i="3"/>
  <c r="V48" i="3"/>
  <c r="T48" i="3"/>
  <c r="Q48" i="3"/>
  <c r="P48" i="3"/>
  <c r="W37" i="3" l="1"/>
  <c r="U36" i="3"/>
  <c r="V36" i="3"/>
  <c r="T36" i="3"/>
  <c r="Q36" i="3"/>
  <c r="P36" i="3"/>
  <c r="U37" i="3" l="1"/>
  <c r="V37" i="3"/>
  <c r="T37" i="3"/>
  <c r="U49" i="3"/>
  <c r="V49" i="3"/>
  <c r="T49" i="3"/>
  <c r="Q49" i="3"/>
  <c r="P49" i="3"/>
  <c r="W29" i="3"/>
  <c r="U28" i="3"/>
  <c r="V28" i="3"/>
  <c r="U29" i="3"/>
  <c r="V29" i="3"/>
  <c r="T29" i="3"/>
  <c r="T28" i="3"/>
  <c r="Q29" i="3"/>
  <c r="P29" i="3"/>
  <c r="Q28" i="3"/>
  <c r="P28" i="3"/>
  <c r="Q37" i="3"/>
  <c r="P37" i="3"/>
  <c r="Q27" i="3"/>
  <c r="W21" i="3" l="1"/>
  <c r="U21" i="3"/>
  <c r="V21" i="3"/>
  <c r="T21" i="3"/>
  <c r="Q21" i="3"/>
  <c r="P21" i="3"/>
  <c r="Q47" i="3"/>
  <c r="U25" i="3"/>
  <c r="V25" i="3"/>
  <c r="T25" i="3"/>
  <c r="U24" i="3"/>
  <c r="V24" i="3"/>
  <c r="T24" i="3"/>
  <c r="W25" i="3"/>
  <c r="Q25" i="3"/>
  <c r="P25" i="3"/>
  <c r="Q24" i="3"/>
  <c r="P24" i="3"/>
  <c r="U33" i="3" l="1"/>
  <c r="V33" i="3"/>
  <c r="T33" i="3"/>
  <c r="U32" i="3"/>
  <c r="V32" i="3"/>
  <c r="T32" i="3"/>
  <c r="W45" i="3"/>
  <c r="U45" i="3"/>
  <c r="V45" i="3"/>
  <c r="T45" i="3"/>
  <c r="Q45" i="3"/>
  <c r="P45" i="3"/>
  <c r="Q35" i="3" l="1"/>
  <c r="Q7" i="3"/>
  <c r="Q23" i="3"/>
  <c r="Q31" i="3"/>
  <c r="P33" i="3" l="1"/>
  <c r="Q33" i="3" s="1"/>
  <c r="P32" i="3"/>
  <c r="Q32" i="3" s="1"/>
  <c r="W33" i="3"/>
  <c r="V17" i="3" l="1"/>
  <c r="P17" i="3"/>
  <c r="W17" i="3"/>
  <c r="V41" i="3"/>
  <c r="P41" i="3"/>
  <c r="Q41" i="3" s="1"/>
  <c r="U41" i="3" s="1"/>
  <c r="V13" i="3"/>
  <c r="W41" i="3"/>
  <c r="P13" i="3"/>
  <c r="Q13" i="3" s="1"/>
  <c r="U13" i="3" s="1"/>
  <c r="W13" i="3"/>
  <c r="P8" i="3"/>
  <c r="W9" i="3"/>
  <c r="V9" i="3"/>
  <c r="P9" i="3"/>
  <c r="Q9" i="3" s="1"/>
  <c r="U9" i="3" s="1"/>
  <c r="Q17" i="3" l="1"/>
  <c r="U17" i="3" s="1"/>
  <c r="V20" i="3"/>
  <c r="V44" i="3" l="1"/>
  <c r="P44" i="3"/>
  <c r="V40" i="3"/>
  <c r="P40" i="3"/>
  <c r="P43" i="3"/>
  <c r="P39" i="3"/>
  <c r="T41" i="3" s="1"/>
  <c r="T40" i="3" l="1"/>
  <c r="T44" i="3"/>
  <c r="Q40" i="3"/>
  <c r="U40" i="3" s="1"/>
  <c r="Q44" i="3"/>
  <c r="U44" i="3" s="1"/>
  <c r="P20" i="3"/>
  <c r="P16" i="3"/>
  <c r="P12" i="3"/>
  <c r="P19" i="3"/>
  <c r="P15" i="3"/>
  <c r="T17" i="3" s="1"/>
  <c r="P11" i="3"/>
  <c r="T13" i="3" s="1"/>
  <c r="T9" i="3"/>
  <c r="V16" i="3"/>
  <c r="V12" i="3"/>
  <c r="V8" i="3"/>
  <c r="T8" i="3" l="1"/>
  <c r="T12" i="3"/>
  <c r="T16" i="3"/>
  <c r="T20" i="3"/>
  <c r="Q20" i="3"/>
  <c r="U20" i="3" s="1"/>
  <c r="Q12" i="3"/>
  <c r="U12" i="3" s="1"/>
  <c r="Q8" i="3"/>
  <c r="U8" i="3" s="1"/>
  <c r="Q16" i="3"/>
  <c r="U16" i="3" s="1"/>
</calcChain>
</file>

<file path=xl/sharedStrings.xml><?xml version="1.0" encoding="utf-8"?>
<sst xmlns="http://schemas.openxmlformats.org/spreadsheetml/2006/main" count="214" uniqueCount="62">
  <si>
    <t>run time (s)</t>
  </si>
  <si>
    <t>RDPII_218.phy</t>
  </si>
  <si>
    <t>SALAMIN_404.phy</t>
  </si>
  <si>
    <t>Taxa</t>
  </si>
  <si>
    <t>Sites</t>
  </si>
  <si>
    <t>Patterns</t>
  </si>
  <si>
    <t>Model</t>
  </si>
  <si>
    <t>GTR+G+F</t>
  </si>
  <si>
    <t>Data set</t>
  </si>
  <si>
    <t>Data type</t>
  </si>
  <si>
    <t>DNA</t>
  </si>
  <si>
    <t>Search</t>
  </si>
  <si>
    <t>speedup</t>
  </si>
  <si>
    <t xml:space="preserve"> --all --bs-trees 100</t>
  </si>
  <si>
    <t xml:space="preserve"> --threads</t>
  </si>
  <si>
    <t xml:space="preserve"> --workers</t>
  </si>
  <si>
    <t xml:space="preserve"> --all --bs-trees autoMRE</t>
  </si>
  <si>
    <t>/expanse/projects/ngbt/opt/benchmarks/RAxML-NG-1.1.0_expanse</t>
  </si>
  <si>
    <t>/expanse/projects/ngbt/opt/benchmarks/RAxML-8.2.12_expanse</t>
  </si>
  <si>
    <t>MPI</t>
  </si>
  <si>
    <t>processes</t>
  </si>
  <si>
    <t>process</t>
  </si>
  <si>
    <t>GTRGAMMA</t>
  </si>
  <si>
    <t xml:space="preserve"> -N 100 -x -f a</t>
  </si>
  <si>
    <t>Cores</t>
  </si>
  <si>
    <t xml:space="preserve"> -N autoMRE -x -f a</t>
  </si>
  <si>
    <t>Bootstraps</t>
  </si>
  <si>
    <t>Pthreads/</t>
  </si>
  <si>
    <t>RAxML-NG</t>
  </si>
  <si>
    <t>RAxML8</t>
  </si>
  <si>
    <t>total</t>
  </si>
  <si>
    <t>bootstrap</t>
  </si>
  <si>
    <t>search20</t>
  </si>
  <si>
    <t>140.AA</t>
  </si>
  <si>
    <t>AA</t>
  </si>
  <si>
    <t>GOTTSCHLING_140.phy</t>
  </si>
  <si>
    <t>WAG+G</t>
  </si>
  <si>
    <t>PROTGAMMAWAG</t>
  </si>
  <si>
    <t>"</t>
  </si>
  <si>
    <t>slowdown</t>
  </si>
  <si>
    <t>RAxML8-to-</t>
  </si>
  <si>
    <t>1.1.0-to-</t>
  </si>
  <si>
    <t>1.1.0.fast</t>
  </si>
  <si>
    <t>/expanse/projects/ngbt/opt/benchmarks/RAxML-NG-1.1.0.fast_expanse</t>
  </si>
  <si>
    <t>52E0C</t>
  </si>
  <si>
    <t>Partitions</t>
  </si>
  <si>
    <t>125.34part</t>
  </si>
  <si>
    <t>POULAKAKIS_125.phy</t>
  </si>
  <si>
    <t>9175A</t>
  </si>
  <si>
    <t>83F06.AA</t>
  </si>
  <si>
    <t>LG+G</t>
  </si>
  <si>
    <t>78B32.AA.649part</t>
  </si>
  <si>
    <t>PROTGAMMAWLG</t>
  </si>
  <si>
    <t>Run times of RAxML 8.2.12 vs RAxML-NG 1.1.0 vs RAxML-NG 1.1.0.fast for all-in-one searches on Expanse</t>
  </si>
  <si>
    <t>Code</t>
  </si>
  <si>
    <t>version</t>
  </si>
  <si>
    <t>NG 1.1.0.fast</t>
  </si>
  <si>
    <t>NG 1.1.0</t>
  </si>
  <si>
    <t>Search20</t>
  </si>
  <si>
    <t>Bootstrap</t>
  </si>
  <si>
    <t>Total</t>
  </si>
  <si>
    <t>Best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</si>
</sst>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1" fontId="4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0" xfId="0" applyFill="1"/>
    <xf numFmtId="3" fontId="4" fillId="0" borderId="0" xfId="0" applyNumberFormat="1" applyFont="1" applyFill="1"/>
    <xf numFmtId="0" fontId="4" fillId="0" borderId="0" xfId="0" applyFont="1" applyFill="1"/>
    <xf numFmtId="1" fontId="4" fillId="0" borderId="0" xfId="0" applyNumberFormat="1" applyFont="1" applyFill="1"/>
    <xf numFmtId="0" fontId="5" fillId="0" borderId="0" xfId="0" applyFont="1" applyAlignment="1">
      <alignment horizontal="left"/>
    </xf>
    <xf numFmtId="2" fontId="4" fillId="0" borderId="0" xfId="0" applyNumberFormat="1" applyFont="1"/>
    <xf numFmtId="2" fontId="4" fillId="0" borderId="0" xfId="0" applyNumberFormat="1" applyFont="1" applyFill="1"/>
    <xf numFmtId="3" fontId="0" fillId="0" borderId="0" xfId="0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2" fontId="0" fillId="0" borderId="0" xfId="0" applyNumberForma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1F2E2-CFB1-8644-AF31-327EDB1BC081}">
  <dimension ref="A1:W57"/>
  <sheetViews>
    <sheetView tabSelected="1" zoomScaleNormal="100" workbookViewId="0"/>
  </sheetViews>
  <sheetFormatPr baseColWidth="10" defaultRowHeight="16" x14ac:dyDescent="0.2"/>
  <cols>
    <col min="1" max="1" width="20.83203125" style="4" customWidth="1"/>
    <col min="2" max="2" width="9.83203125" style="15" customWidth="1"/>
    <col min="3" max="3" width="9.83203125" style="4" customWidth="1"/>
    <col min="4" max="4" width="10.83203125" style="4" customWidth="1"/>
    <col min="5" max="6" width="9.83203125" style="4" customWidth="1"/>
    <col min="7" max="7" width="12.83203125" style="4" customWidth="1"/>
    <col min="8" max="8" width="18.83203125" style="15" customWidth="1"/>
    <col min="9" max="9" width="24.83203125" style="7" customWidth="1"/>
    <col min="10" max="11" width="10.83203125" style="7"/>
    <col min="12" max="12" width="10.83203125" style="5"/>
    <col min="13" max="15" width="10.83203125" style="7"/>
    <col min="16" max="17" width="11.83203125" style="7" customWidth="1"/>
    <col min="18" max="18" width="11.83203125" customWidth="1"/>
    <col min="19" max="19" width="12.83203125" customWidth="1"/>
    <col min="20" max="23" width="11.83203125" customWidth="1"/>
  </cols>
  <sheetData>
    <row r="1" spans="1:23" x14ac:dyDescent="0.2">
      <c r="A1" s="24" t="s">
        <v>53</v>
      </c>
      <c r="C1" s="1"/>
      <c r="D1" s="1"/>
      <c r="E1" s="1"/>
      <c r="F1" s="1"/>
      <c r="G1" s="1"/>
      <c r="L1" s="2"/>
    </row>
    <row r="2" spans="1:23" x14ac:dyDescent="0.2">
      <c r="C2" s="3"/>
      <c r="D2" s="3"/>
      <c r="E2" s="3"/>
      <c r="F2" s="3"/>
      <c r="G2" s="3"/>
      <c r="L2" s="2"/>
      <c r="R2" s="2"/>
      <c r="T2" s="7" t="s">
        <v>40</v>
      </c>
      <c r="U2" s="7" t="s">
        <v>40</v>
      </c>
      <c r="V2" s="7" t="s">
        <v>40</v>
      </c>
      <c r="W2" s="7" t="s">
        <v>28</v>
      </c>
    </row>
    <row r="3" spans="1:23" x14ac:dyDescent="0.2">
      <c r="A3" s="3"/>
      <c r="C3" s="3"/>
      <c r="D3" s="3"/>
      <c r="E3" s="3"/>
      <c r="F3" s="3"/>
      <c r="G3" s="3"/>
      <c r="L3" s="2"/>
      <c r="R3" s="7"/>
      <c r="T3" s="7" t="s">
        <v>28</v>
      </c>
      <c r="U3" s="7" t="s">
        <v>28</v>
      </c>
      <c r="V3" s="7" t="s">
        <v>28</v>
      </c>
      <c r="W3" s="2" t="s">
        <v>41</v>
      </c>
    </row>
    <row r="4" spans="1:23" x14ac:dyDescent="0.2">
      <c r="A4" s="3"/>
      <c r="B4" s="7"/>
      <c r="C4" s="3"/>
      <c r="D4" s="3"/>
      <c r="E4" s="3"/>
      <c r="F4" s="3"/>
      <c r="G4" s="2" t="s">
        <v>54</v>
      </c>
      <c r="J4" s="7" t="s">
        <v>19</v>
      </c>
      <c r="K4" s="7" t="s">
        <v>27</v>
      </c>
      <c r="L4" s="2"/>
      <c r="P4" s="7" t="s">
        <v>58</v>
      </c>
      <c r="Q4" s="7" t="s">
        <v>59</v>
      </c>
      <c r="R4" s="7" t="s">
        <v>60</v>
      </c>
      <c r="S4" s="7"/>
      <c r="T4" s="7" t="s">
        <v>32</v>
      </c>
      <c r="U4" s="7" t="s">
        <v>31</v>
      </c>
      <c r="V4" s="7" t="s">
        <v>30</v>
      </c>
      <c r="W4" s="7" t="s">
        <v>42</v>
      </c>
    </row>
    <row r="5" spans="1:23" x14ac:dyDescent="0.2">
      <c r="A5" s="3" t="s">
        <v>8</v>
      </c>
      <c r="B5" s="7" t="s">
        <v>9</v>
      </c>
      <c r="C5" s="2" t="s">
        <v>3</v>
      </c>
      <c r="D5" s="2" t="s">
        <v>4</v>
      </c>
      <c r="E5" s="2" t="s">
        <v>5</v>
      </c>
      <c r="F5" s="2" t="s">
        <v>45</v>
      </c>
      <c r="G5" s="2" t="s">
        <v>55</v>
      </c>
      <c r="H5" s="7" t="s">
        <v>6</v>
      </c>
      <c r="I5" s="7" t="s">
        <v>11</v>
      </c>
      <c r="J5" s="2" t="s">
        <v>20</v>
      </c>
      <c r="K5" s="2" t="s">
        <v>21</v>
      </c>
      <c r="L5" s="2" t="s">
        <v>14</v>
      </c>
      <c r="M5" s="7" t="s">
        <v>15</v>
      </c>
      <c r="N5" s="7" t="s">
        <v>24</v>
      </c>
      <c r="O5" s="7" t="s">
        <v>26</v>
      </c>
      <c r="P5" s="2" t="s">
        <v>0</v>
      </c>
      <c r="Q5" s="2" t="s">
        <v>0</v>
      </c>
      <c r="R5" s="2" t="s">
        <v>0</v>
      </c>
      <c r="S5" s="7" t="s">
        <v>61</v>
      </c>
      <c r="T5" s="7" t="s">
        <v>39</v>
      </c>
      <c r="U5" s="7" t="s">
        <v>39</v>
      </c>
      <c r="V5" s="7" t="s">
        <v>39</v>
      </c>
      <c r="W5" s="2" t="s">
        <v>12</v>
      </c>
    </row>
    <row r="6" spans="1:23" x14ac:dyDescent="0.2">
      <c r="W6" s="11"/>
    </row>
    <row r="7" spans="1:23" x14ac:dyDescent="0.2">
      <c r="A7" s="8">
        <v>218</v>
      </c>
      <c r="B7" s="7" t="s">
        <v>10</v>
      </c>
      <c r="C7" s="13">
        <v>218</v>
      </c>
      <c r="D7" s="13">
        <v>2294</v>
      </c>
      <c r="E7" s="13">
        <v>1846</v>
      </c>
      <c r="F7" s="13">
        <v>1</v>
      </c>
      <c r="G7" s="13" t="s">
        <v>29</v>
      </c>
      <c r="H7" s="7" t="s">
        <v>22</v>
      </c>
      <c r="I7" s="7" t="s">
        <v>23</v>
      </c>
      <c r="J7" s="7">
        <v>10</v>
      </c>
      <c r="K7" s="7">
        <v>8</v>
      </c>
      <c r="L7" s="2"/>
      <c r="N7" s="7">
        <v>80</v>
      </c>
      <c r="O7" s="9">
        <v>100</v>
      </c>
      <c r="P7" s="9">
        <v>204.16736499999999</v>
      </c>
      <c r="Q7" s="9">
        <f>R7-P7</f>
        <v>56.21890700000003</v>
      </c>
      <c r="R7" s="12">
        <v>260.38627200000002</v>
      </c>
      <c r="S7" s="10">
        <v>-134146.93291800001</v>
      </c>
      <c r="W7" s="25"/>
    </row>
    <row r="8" spans="1:23" x14ac:dyDescent="0.2">
      <c r="A8" s="6" t="s">
        <v>1</v>
      </c>
      <c r="B8" s="7"/>
      <c r="C8" s="14"/>
      <c r="D8" s="14"/>
      <c r="E8" s="14"/>
      <c r="F8" s="14"/>
      <c r="G8" s="9" t="s">
        <v>57</v>
      </c>
      <c r="H8" s="7" t="s">
        <v>7</v>
      </c>
      <c r="I8" s="7" t="s">
        <v>13</v>
      </c>
      <c r="L8" s="2">
        <v>80</v>
      </c>
      <c r="M8" s="7">
        <v>20</v>
      </c>
      <c r="N8" s="7">
        <v>80</v>
      </c>
      <c r="O8" s="9">
        <v>100</v>
      </c>
      <c r="P8" s="9">
        <f>2*60+34</f>
        <v>154</v>
      </c>
      <c r="Q8" s="9">
        <f>R8-P8</f>
        <v>622.93799999999999</v>
      </c>
      <c r="R8" s="23">
        <v>776.93799999999999</v>
      </c>
      <c r="S8" s="10">
        <v>-134151.318654</v>
      </c>
      <c r="T8" s="25">
        <f>P8/P7</f>
        <v>0.75428313432952421</v>
      </c>
      <c r="U8" s="25">
        <f>Q8/Q7</f>
        <v>11.08057828303207</v>
      </c>
      <c r="V8" s="25">
        <f>R8/R7</f>
        <v>2.9837901746218014</v>
      </c>
      <c r="W8" s="25"/>
    </row>
    <row r="9" spans="1:23" x14ac:dyDescent="0.2">
      <c r="A9" s="6"/>
      <c r="B9" s="7"/>
      <c r="C9" s="14"/>
      <c r="D9" s="14"/>
      <c r="E9" s="14"/>
      <c r="F9" s="14"/>
      <c r="G9" s="9" t="s">
        <v>56</v>
      </c>
      <c r="H9" s="7" t="s">
        <v>38</v>
      </c>
      <c r="I9" s="7" t="s">
        <v>38</v>
      </c>
      <c r="L9" s="2" t="s">
        <v>38</v>
      </c>
      <c r="M9" s="7" t="s">
        <v>38</v>
      </c>
      <c r="N9" s="7" t="s">
        <v>38</v>
      </c>
      <c r="O9" s="9" t="s">
        <v>38</v>
      </c>
      <c r="P9" s="9">
        <f>60+13</f>
        <v>73</v>
      </c>
      <c r="Q9" s="9">
        <f>R9-P9</f>
        <v>255.70999999999998</v>
      </c>
      <c r="R9" s="23">
        <v>328.71</v>
      </c>
      <c r="S9" s="10">
        <v>-134148.325404</v>
      </c>
      <c r="T9" s="25">
        <f>P9/P7</f>
        <v>0.35754979744191734</v>
      </c>
      <c r="U9" s="25">
        <f>Q9/Q7</f>
        <v>4.5484697879309506</v>
      </c>
      <c r="V9" s="25">
        <f>R9/R7</f>
        <v>1.2623937409419186</v>
      </c>
      <c r="W9" s="25">
        <f>R8/R9</f>
        <v>2.3635970916613429</v>
      </c>
    </row>
    <row r="10" spans="1:23" s="20" customFormat="1" x14ac:dyDescent="0.2">
      <c r="J10" s="18"/>
      <c r="K10" s="18"/>
      <c r="L10" s="7"/>
      <c r="M10" s="18"/>
      <c r="N10" s="18"/>
      <c r="O10" s="19"/>
      <c r="P10" s="19"/>
      <c r="Q10" s="19"/>
      <c r="R10" s="21"/>
      <c r="S10" s="21"/>
      <c r="T10" s="25"/>
      <c r="U10" s="25"/>
      <c r="V10" s="25"/>
      <c r="W10" s="26"/>
    </row>
    <row r="11" spans="1:23" s="20" customFormat="1" x14ac:dyDescent="0.2">
      <c r="G11" s="13" t="s">
        <v>29</v>
      </c>
      <c r="H11" s="7" t="s">
        <v>22</v>
      </c>
      <c r="I11" s="7" t="s">
        <v>25</v>
      </c>
      <c r="J11" s="18">
        <v>10</v>
      </c>
      <c r="K11" s="18">
        <v>8</v>
      </c>
      <c r="L11" s="7"/>
      <c r="M11" s="18"/>
      <c r="N11" s="18">
        <v>80</v>
      </c>
      <c r="O11" s="19">
        <v>700</v>
      </c>
      <c r="P11" s="19">
        <f>R11-Q11</f>
        <v>231.97424899999993</v>
      </c>
      <c r="Q11" s="19">
        <v>399.56989700000003</v>
      </c>
      <c r="R11" s="12">
        <v>631.54414599999996</v>
      </c>
      <c r="S11" s="21">
        <v>-134146.93291800001</v>
      </c>
      <c r="T11" s="26"/>
      <c r="U11" s="26"/>
      <c r="V11" s="26"/>
      <c r="W11" s="26"/>
    </row>
    <row r="12" spans="1:23" s="20" customFormat="1" x14ac:dyDescent="0.2">
      <c r="G12" s="9" t="s">
        <v>57</v>
      </c>
      <c r="H12" s="7" t="s">
        <v>7</v>
      </c>
      <c r="I12" s="18" t="s">
        <v>16</v>
      </c>
      <c r="J12" s="18"/>
      <c r="K12" s="18"/>
      <c r="L12" s="18">
        <v>80</v>
      </c>
      <c r="M12" s="18">
        <v>20</v>
      </c>
      <c r="N12" s="18">
        <v>80</v>
      </c>
      <c r="O12" s="19">
        <v>1000</v>
      </c>
      <c r="P12" s="19">
        <f>2*60+50</f>
        <v>170</v>
      </c>
      <c r="Q12" s="19">
        <f>R12-P12</f>
        <v>7592.2129999999997</v>
      </c>
      <c r="R12" s="21">
        <v>7762.2129999999997</v>
      </c>
      <c r="S12" s="21">
        <v>-134151.318654</v>
      </c>
      <c r="T12" s="26">
        <f>P12/P11</f>
        <v>0.73283996276672958</v>
      </c>
      <c r="U12" s="26">
        <f>Q12/Q11</f>
        <v>19.000963428433646</v>
      </c>
      <c r="V12" s="26">
        <f>R12/R11</f>
        <v>12.29084783567925</v>
      </c>
      <c r="W12" s="26"/>
    </row>
    <row r="13" spans="1:23" s="20" customFormat="1" x14ac:dyDescent="0.2">
      <c r="G13" s="9" t="s">
        <v>56</v>
      </c>
      <c r="H13" s="7" t="s">
        <v>38</v>
      </c>
      <c r="I13" s="18" t="s">
        <v>38</v>
      </c>
      <c r="J13" s="18"/>
      <c r="K13" s="18"/>
      <c r="L13" s="18" t="s">
        <v>38</v>
      </c>
      <c r="M13" s="18" t="s">
        <v>38</v>
      </c>
      <c r="N13" s="18" t="s">
        <v>38</v>
      </c>
      <c r="O13" s="19">
        <v>1000</v>
      </c>
      <c r="P13" s="19">
        <f>60+16</f>
        <v>76</v>
      </c>
      <c r="Q13" s="19">
        <f>R13-P13</f>
        <v>2790.5920000000001</v>
      </c>
      <c r="R13" s="21">
        <v>2866.5920000000001</v>
      </c>
      <c r="S13" s="21">
        <v>-134148.325404</v>
      </c>
      <c r="T13" s="26">
        <f>P13/P11</f>
        <v>0.32762257158983205</v>
      </c>
      <c r="U13" s="26">
        <f>Q13/Q11</f>
        <v>6.9839895871835411</v>
      </c>
      <c r="V13" s="26">
        <f>R13/R11</f>
        <v>4.5390207765459998</v>
      </c>
      <c r="W13" s="26">
        <f>R12/R13</f>
        <v>2.7078192501758185</v>
      </c>
    </row>
    <row r="14" spans="1:23" s="20" customFormat="1" x14ac:dyDescent="0.2">
      <c r="J14" s="18"/>
      <c r="K14" s="18"/>
      <c r="L14" s="18"/>
      <c r="O14" s="19"/>
      <c r="P14" s="19"/>
      <c r="Q14" s="19"/>
      <c r="R14" s="22"/>
      <c r="S14" s="21"/>
      <c r="T14" s="26"/>
      <c r="U14" s="26"/>
      <c r="V14" s="26"/>
      <c r="W14" s="26"/>
    </row>
    <row r="15" spans="1:23" s="20" customFormat="1" x14ac:dyDescent="0.2">
      <c r="A15" s="8">
        <v>404</v>
      </c>
      <c r="B15" s="7" t="s">
        <v>10</v>
      </c>
      <c r="C15" s="9">
        <v>404</v>
      </c>
      <c r="D15" s="9">
        <v>13158</v>
      </c>
      <c r="E15" s="9">
        <v>7429</v>
      </c>
      <c r="F15" s="9">
        <v>1</v>
      </c>
      <c r="G15" s="13" t="s">
        <v>29</v>
      </c>
      <c r="H15" s="7" t="s">
        <v>22</v>
      </c>
      <c r="I15" s="7" t="s">
        <v>23</v>
      </c>
      <c r="J15" s="18">
        <v>10</v>
      </c>
      <c r="K15" s="18">
        <v>12</v>
      </c>
      <c r="L15" s="7"/>
      <c r="M15" s="7"/>
      <c r="N15" s="7">
        <v>120</v>
      </c>
      <c r="O15" s="19">
        <v>100</v>
      </c>
      <c r="P15" s="19">
        <f>R15-Q15</f>
        <v>708.08203900000012</v>
      </c>
      <c r="Q15" s="19">
        <v>312.61980799999998</v>
      </c>
      <c r="R15" s="10">
        <v>1020.701847</v>
      </c>
      <c r="S15" s="21">
        <v>-156127.77897399999</v>
      </c>
      <c r="T15" s="26"/>
      <c r="U15" s="26"/>
      <c r="V15" s="26"/>
      <c r="W15" s="26"/>
    </row>
    <row r="16" spans="1:23" s="20" customFormat="1" x14ac:dyDescent="0.2">
      <c r="A16" s="8" t="s">
        <v>2</v>
      </c>
      <c r="B16" s="7"/>
      <c r="C16" s="9"/>
      <c r="D16" s="9"/>
      <c r="E16" s="9"/>
      <c r="F16" s="9"/>
      <c r="G16" s="9" t="s">
        <v>57</v>
      </c>
      <c r="H16" s="18" t="s">
        <v>7</v>
      </c>
      <c r="I16" s="7" t="s">
        <v>13</v>
      </c>
      <c r="J16" s="18"/>
      <c r="K16" s="18"/>
      <c r="L16" s="18">
        <v>120</v>
      </c>
      <c r="M16" s="18">
        <v>20</v>
      </c>
      <c r="N16" s="18">
        <v>120</v>
      </c>
      <c r="O16" s="19">
        <v>100</v>
      </c>
      <c r="P16" s="19">
        <f>19*60+23</f>
        <v>1163</v>
      </c>
      <c r="Q16" s="19">
        <f>R16-P16</f>
        <v>4031.3249999999998</v>
      </c>
      <c r="R16" s="21">
        <v>5194.3249999999998</v>
      </c>
      <c r="S16" s="21">
        <v>-156079.84838700001</v>
      </c>
      <c r="T16" s="26">
        <f>P16/P15</f>
        <v>1.6424650477541625</v>
      </c>
      <c r="U16" s="26">
        <f>Q16/Q15</f>
        <v>12.895296129156346</v>
      </c>
      <c r="V16" s="26">
        <f>R16/R15</f>
        <v>5.0889738421331572</v>
      </c>
      <c r="W16" s="26"/>
    </row>
    <row r="17" spans="1:23" s="20" customFormat="1" x14ac:dyDescent="0.2">
      <c r="A17" s="8"/>
      <c r="B17" s="7"/>
      <c r="C17" s="9"/>
      <c r="D17" s="9"/>
      <c r="E17" s="9"/>
      <c r="F17" s="9"/>
      <c r="G17" s="9" t="s">
        <v>56</v>
      </c>
      <c r="H17" s="18" t="s">
        <v>38</v>
      </c>
      <c r="I17" s="7" t="s">
        <v>38</v>
      </c>
      <c r="J17" s="7"/>
      <c r="K17" s="7"/>
      <c r="L17" s="2" t="s">
        <v>38</v>
      </c>
      <c r="M17" s="7" t="s">
        <v>38</v>
      </c>
      <c r="N17" s="7" t="s">
        <v>38</v>
      </c>
      <c r="O17" s="9" t="s">
        <v>38</v>
      </c>
      <c r="P17" s="19">
        <f>16*60</f>
        <v>960</v>
      </c>
      <c r="Q17" s="19">
        <f>R17-P17</f>
        <v>2617.6010000000001</v>
      </c>
      <c r="R17" s="21">
        <v>3577.6010000000001</v>
      </c>
      <c r="S17" s="21">
        <v>-156090.76294700001</v>
      </c>
      <c r="T17" s="26">
        <f>P17/P15</f>
        <v>1.3557751039071333</v>
      </c>
      <c r="U17" s="26">
        <f>Q17/Q15</f>
        <v>8.3731130690221658</v>
      </c>
      <c r="V17" s="26">
        <f>R17/R15</f>
        <v>3.5050401941714129</v>
      </c>
      <c r="W17" s="26">
        <f>R16/R17</f>
        <v>1.4519017073172775</v>
      </c>
    </row>
    <row r="18" spans="1:23" s="20" customFormat="1" x14ac:dyDescent="0.2">
      <c r="B18" s="7"/>
      <c r="C18" s="9"/>
      <c r="D18" s="9"/>
      <c r="E18" s="9"/>
      <c r="F18" s="9"/>
      <c r="G18" s="9"/>
      <c r="S18" s="21"/>
      <c r="T18" s="26"/>
      <c r="U18" s="26"/>
      <c r="V18" s="26"/>
      <c r="W18" s="26"/>
    </row>
    <row r="19" spans="1:23" s="20" customFormat="1" x14ac:dyDescent="0.2">
      <c r="A19" s="8"/>
      <c r="B19" s="7"/>
      <c r="C19" s="9"/>
      <c r="D19" s="9"/>
      <c r="E19" s="9"/>
      <c r="F19" s="9"/>
      <c r="G19" s="13" t="s">
        <v>29</v>
      </c>
      <c r="H19" s="7" t="s">
        <v>22</v>
      </c>
      <c r="I19" s="7" t="s">
        <v>25</v>
      </c>
      <c r="J19" s="18">
        <v>10</v>
      </c>
      <c r="K19" s="18">
        <v>12</v>
      </c>
      <c r="L19" s="7"/>
      <c r="M19" s="7"/>
      <c r="N19" s="7">
        <v>120</v>
      </c>
      <c r="O19" s="19">
        <v>450</v>
      </c>
      <c r="P19" s="19">
        <f>R19-Q19</f>
        <v>936.77272200000016</v>
      </c>
      <c r="Q19" s="19">
        <v>1383.835098</v>
      </c>
      <c r="R19" s="10">
        <v>2320.6078200000002</v>
      </c>
      <c r="S19" s="21">
        <v>-156126.51117400001</v>
      </c>
      <c r="T19" s="26"/>
      <c r="U19" s="26"/>
      <c r="V19" s="26"/>
      <c r="W19" s="26"/>
    </row>
    <row r="20" spans="1:23" s="20" customFormat="1" x14ac:dyDescent="0.2">
      <c r="A20" s="8"/>
      <c r="B20" s="7"/>
      <c r="C20" s="9"/>
      <c r="D20" s="9"/>
      <c r="E20" s="9"/>
      <c r="F20" s="9"/>
      <c r="G20" s="9" t="s">
        <v>57</v>
      </c>
      <c r="H20" s="18" t="s">
        <v>7</v>
      </c>
      <c r="I20" s="18" t="s">
        <v>16</v>
      </c>
      <c r="J20" s="18"/>
      <c r="K20" s="18"/>
      <c r="L20" s="18">
        <v>120</v>
      </c>
      <c r="M20" s="18">
        <v>20</v>
      </c>
      <c r="N20" s="18">
        <v>120</v>
      </c>
      <c r="O20" s="19">
        <v>950</v>
      </c>
      <c r="P20" s="19">
        <f>19*60+13</f>
        <v>1153</v>
      </c>
      <c r="Q20" s="19">
        <f>R20-P20</f>
        <v>37754.332000000002</v>
      </c>
      <c r="R20" s="21">
        <v>38907.332000000002</v>
      </c>
      <c r="S20" s="21">
        <v>-156079.84838700001</v>
      </c>
      <c r="T20" s="26">
        <f>P20/P19</f>
        <v>1.2308214926864618</v>
      </c>
      <c r="U20" s="26">
        <f>Q20/Q19</f>
        <v>27.28239228399741</v>
      </c>
      <c r="V20" s="26">
        <f>R20/R19</f>
        <v>16.766009174268834</v>
      </c>
      <c r="W20" s="26"/>
    </row>
    <row r="21" spans="1:23" s="20" customFormat="1" x14ac:dyDescent="0.2">
      <c r="A21" s="8"/>
      <c r="B21" s="7"/>
      <c r="C21" s="9"/>
      <c r="D21" s="9"/>
      <c r="E21" s="9"/>
      <c r="F21" s="9"/>
      <c r="G21" s="9" t="s">
        <v>56</v>
      </c>
      <c r="H21" s="18" t="s">
        <v>38</v>
      </c>
      <c r="I21" s="18" t="s">
        <v>38</v>
      </c>
      <c r="J21" s="18"/>
      <c r="K21" s="18"/>
      <c r="L21" s="18" t="s">
        <v>38</v>
      </c>
      <c r="M21" s="18" t="s">
        <v>38</v>
      </c>
      <c r="N21" s="18" t="s">
        <v>38</v>
      </c>
      <c r="O21" s="19">
        <v>900</v>
      </c>
      <c r="P21" s="19">
        <f>15*60+54</f>
        <v>954</v>
      </c>
      <c r="Q21" s="19">
        <f>R21-P21</f>
        <v>23076.960999999999</v>
      </c>
      <c r="R21" s="21">
        <v>24030.960999999999</v>
      </c>
      <c r="S21" s="21">
        <v>-156090.76294700001</v>
      </c>
      <c r="T21" s="26">
        <f>P21/P19</f>
        <v>1.0183900295081392</v>
      </c>
      <c r="U21" s="26">
        <f t="shared" ref="U21:V21" si="0">Q21/Q19</f>
        <v>16.676091705834157</v>
      </c>
      <c r="V21" s="26">
        <f t="shared" si="0"/>
        <v>10.355459803630239</v>
      </c>
      <c r="W21" s="26">
        <f>R20/R21</f>
        <v>1.6190501911263557</v>
      </c>
    </row>
    <row r="22" spans="1:23" s="20" customFormat="1" x14ac:dyDescent="0.2">
      <c r="A22" s="17"/>
      <c r="B22" s="18"/>
      <c r="C22" s="19"/>
      <c r="D22" s="19"/>
      <c r="E22" s="19"/>
      <c r="F22" s="19"/>
      <c r="G22" s="19"/>
      <c r="H22" s="18"/>
      <c r="I22" s="18"/>
      <c r="J22" s="18"/>
      <c r="K22" s="18"/>
      <c r="L22" s="16"/>
      <c r="M22" s="18"/>
      <c r="N22" s="18"/>
      <c r="O22" s="19"/>
      <c r="P22" s="19"/>
      <c r="Q22" s="19"/>
      <c r="T22" s="26"/>
      <c r="U22" s="26"/>
      <c r="V22" s="26"/>
      <c r="W22" s="26"/>
    </row>
    <row r="23" spans="1:23" s="7" customFormat="1" x14ac:dyDescent="0.2">
      <c r="A23" s="11" t="s">
        <v>46</v>
      </c>
      <c r="B23" s="7" t="s">
        <v>10</v>
      </c>
      <c r="C23" s="9">
        <v>125</v>
      </c>
      <c r="D23" s="9">
        <v>29149</v>
      </c>
      <c r="E23" s="9">
        <v>19839</v>
      </c>
      <c r="F23" s="7">
        <v>34</v>
      </c>
      <c r="G23" s="13" t="s">
        <v>29</v>
      </c>
      <c r="H23" s="7" t="s">
        <v>22</v>
      </c>
      <c r="I23" s="7" t="s">
        <v>23</v>
      </c>
      <c r="J23" s="7">
        <v>5</v>
      </c>
      <c r="K23" s="7">
        <v>25</v>
      </c>
      <c r="N23" s="7">
        <v>125</v>
      </c>
      <c r="O23" s="7">
        <v>100</v>
      </c>
      <c r="P23" s="9">
        <v>626.37412400000005</v>
      </c>
      <c r="Q23" s="9">
        <f>R23-P23</f>
        <v>211.30604999999991</v>
      </c>
      <c r="R23" s="9">
        <v>837.68017399999997</v>
      </c>
      <c r="S23" s="9">
        <v>-814763.76776399999</v>
      </c>
    </row>
    <row r="24" spans="1:23" s="7" customFormat="1" x14ac:dyDescent="0.2">
      <c r="A24" s="8" t="s">
        <v>47</v>
      </c>
      <c r="C24" s="9"/>
      <c r="D24" s="9"/>
      <c r="E24" s="9"/>
      <c r="G24" s="9" t="s">
        <v>57</v>
      </c>
      <c r="H24" s="7" t="s">
        <v>7</v>
      </c>
      <c r="I24" s="7" t="s">
        <v>13</v>
      </c>
      <c r="L24" s="7">
        <v>120</v>
      </c>
      <c r="M24" s="7">
        <v>10</v>
      </c>
      <c r="N24" s="7">
        <v>120</v>
      </c>
      <c r="O24" s="7">
        <v>100</v>
      </c>
      <c r="P24" s="7">
        <f>6*60+18</f>
        <v>378</v>
      </c>
      <c r="Q24" s="9">
        <f>R24-P24</f>
        <v>1592.703</v>
      </c>
      <c r="R24" s="19">
        <v>1970.703</v>
      </c>
      <c r="S24" s="9">
        <v>-810238.62419200002</v>
      </c>
      <c r="T24" s="28">
        <f>P24/P23</f>
        <v>0.60347320477753319</v>
      </c>
      <c r="U24" s="28">
        <f t="shared" ref="U24:V24" si="1">Q24/Q23</f>
        <v>7.5374226152067134</v>
      </c>
      <c r="V24" s="28">
        <f t="shared" si="1"/>
        <v>2.3525720927471778</v>
      </c>
      <c r="W24" s="28"/>
    </row>
    <row r="25" spans="1:23" s="7" customFormat="1" x14ac:dyDescent="0.2">
      <c r="G25" s="9" t="s">
        <v>56</v>
      </c>
      <c r="H25" s="7" t="s">
        <v>38</v>
      </c>
      <c r="I25" s="7" t="s">
        <v>38</v>
      </c>
      <c r="L25" s="7" t="s">
        <v>38</v>
      </c>
      <c r="M25" s="7" t="s">
        <v>38</v>
      </c>
      <c r="N25" s="7" t="s">
        <v>38</v>
      </c>
      <c r="O25" s="7" t="s">
        <v>38</v>
      </c>
      <c r="P25" s="7">
        <f>4*60+51</f>
        <v>291</v>
      </c>
      <c r="Q25" s="9">
        <f>R25-P25</f>
        <v>1255.9659999999999</v>
      </c>
      <c r="R25" s="19">
        <v>1546.9659999999999</v>
      </c>
      <c r="S25" s="9">
        <v>-810238.61955299997</v>
      </c>
      <c r="T25" s="28">
        <f>P25/P23</f>
        <v>0.46457857828111682</v>
      </c>
      <c r="U25" s="28">
        <f t="shared" ref="U25:V25" si="2">Q25/Q23</f>
        <v>5.9438241356553698</v>
      </c>
      <c r="V25" s="28">
        <f t="shared" si="2"/>
        <v>1.8467262900745218</v>
      </c>
      <c r="W25" s="28">
        <f>R24/R25</f>
        <v>1.2739148759571963</v>
      </c>
    </row>
    <row r="26" spans="1:23" s="7" customFormat="1" x14ac:dyDescent="0.2">
      <c r="G26" s="9"/>
      <c r="Q26" s="9"/>
      <c r="R26" s="19"/>
      <c r="S26" s="9"/>
      <c r="T26" s="28"/>
      <c r="U26" s="28"/>
      <c r="V26" s="28"/>
      <c r="W26" s="28"/>
    </row>
    <row r="27" spans="1:23" s="7" customFormat="1" x14ac:dyDescent="0.2">
      <c r="G27" s="13" t="s">
        <v>29</v>
      </c>
      <c r="H27" s="7" t="s">
        <v>22</v>
      </c>
      <c r="I27" s="7" t="s">
        <v>25</v>
      </c>
      <c r="J27" s="7">
        <v>5</v>
      </c>
      <c r="K27" s="7">
        <v>25</v>
      </c>
      <c r="N27" s="7">
        <v>125</v>
      </c>
      <c r="O27" s="18">
        <v>50</v>
      </c>
      <c r="P27" s="9">
        <v>650.07076800000004</v>
      </c>
      <c r="Q27" s="9">
        <f>R27-P27</f>
        <v>130.32910499999991</v>
      </c>
      <c r="R27" s="19">
        <v>780.39987299999996</v>
      </c>
      <c r="S27" s="9">
        <v>-814763.76768499997</v>
      </c>
      <c r="T27" s="28"/>
      <c r="U27" s="28"/>
      <c r="V27" s="28"/>
      <c r="W27" s="28"/>
    </row>
    <row r="28" spans="1:23" s="7" customFormat="1" x14ac:dyDescent="0.2">
      <c r="G28" s="9" t="s">
        <v>57</v>
      </c>
      <c r="H28" s="7" t="s">
        <v>7</v>
      </c>
      <c r="I28" s="18" t="s">
        <v>16</v>
      </c>
      <c r="L28" s="7">
        <v>120</v>
      </c>
      <c r="M28" s="7">
        <v>10</v>
      </c>
      <c r="N28" s="7">
        <v>120</v>
      </c>
      <c r="O28" s="18">
        <v>50</v>
      </c>
      <c r="P28" s="19">
        <f>6*60+16</f>
        <v>376</v>
      </c>
      <c r="Q28" s="19">
        <f>R28-P28</f>
        <v>792.57899999999995</v>
      </c>
      <c r="R28" s="19">
        <v>1168.579</v>
      </c>
      <c r="S28" s="9">
        <v>-810238.62419200002</v>
      </c>
      <c r="T28" s="28">
        <f>P28/P27</f>
        <v>0.5783985659850498</v>
      </c>
      <c r="U28" s="28">
        <f t="shared" ref="U28:V28" si="3">Q28/Q27</f>
        <v>6.0813660924012369</v>
      </c>
      <c r="V28" s="28">
        <f t="shared" si="3"/>
        <v>1.4974105460932079</v>
      </c>
      <c r="W28" s="28"/>
    </row>
    <row r="29" spans="1:23" s="7" customFormat="1" x14ac:dyDescent="0.2">
      <c r="G29" s="9" t="s">
        <v>56</v>
      </c>
      <c r="H29" s="7" t="s">
        <v>38</v>
      </c>
      <c r="I29" s="18" t="s">
        <v>38</v>
      </c>
      <c r="L29" s="7" t="s">
        <v>38</v>
      </c>
      <c r="M29" s="7" t="s">
        <v>38</v>
      </c>
      <c r="N29" s="7" t="s">
        <v>38</v>
      </c>
      <c r="O29" s="18">
        <v>50</v>
      </c>
      <c r="P29" s="19">
        <f>4*60+56</f>
        <v>296</v>
      </c>
      <c r="Q29" s="19">
        <f>R29-P29</f>
        <v>627.66899999999998</v>
      </c>
      <c r="R29" s="19">
        <v>923.66899999999998</v>
      </c>
      <c r="S29" s="9">
        <v>-810238.61955299997</v>
      </c>
      <c r="T29" s="28">
        <f>P29/P27</f>
        <v>0.45533504130737962</v>
      </c>
      <c r="U29" s="28">
        <f t="shared" ref="U29:V29" si="4">Q29/Q27</f>
        <v>4.8160309241746146</v>
      </c>
      <c r="V29" s="28">
        <f t="shared" si="4"/>
        <v>1.183584252069708</v>
      </c>
      <c r="W29" s="28">
        <f>R28/R29</f>
        <v>1.2651490956175859</v>
      </c>
    </row>
    <row r="30" spans="1:23" s="7" customFormat="1" x14ac:dyDescent="0.2"/>
    <row r="31" spans="1:23" x14ac:dyDescent="0.2">
      <c r="A31" s="11" t="s">
        <v>44</v>
      </c>
      <c r="B31" s="7" t="s">
        <v>10</v>
      </c>
      <c r="C31" s="11">
        <v>45</v>
      </c>
      <c r="D31" s="10">
        <v>1309295</v>
      </c>
      <c r="E31" s="29">
        <v>168565</v>
      </c>
      <c r="F31" s="29">
        <v>1</v>
      </c>
      <c r="G31" s="13" t="s">
        <v>29</v>
      </c>
      <c r="H31" s="7" t="s">
        <v>22</v>
      </c>
      <c r="I31" s="7" t="s">
        <v>23</v>
      </c>
      <c r="J31" s="7">
        <v>2</v>
      </c>
      <c r="K31" s="7">
        <v>64</v>
      </c>
      <c r="L31" s="7"/>
      <c r="N31" s="7">
        <v>128</v>
      </c>
      <c r="O31" s="7">
        <v>100</v>
      </c>
      <c r="P31" s="9">
        <v>173.152457</v>
      </c>
      <c r="Q31" s="9">
        <f>R31-P31</f>
        <v>267.20724399999995</v>
      </c>
      <c r="R31" s="9">
        <v>440.35970099999997</v>
      </c>
      <c r="S31" s="9">
        <v>-2469095.623538</v>
      </c>
      <c r="T31" s="7"/>
      <c r="U31" s="20"/>
      <c r="V31" s="20"/>
      <c r="W31" s="28"/>
    </row>
    <row r="32" spans="1:23" x14ac:dyDescent="0.2">
      <c r="A32" s="11"/>
      <c r="B32" s="11"/>
      <c r="C32" s="11"/>
      <c r="D32" s="11"/>
      <c r="E32" s="11"/>
      <c r="F32" s="11"/>
      <c r="G32" s="9" t="s">
        <v>57</v>
      </c>
      <c r="H32" s="7" t="s">
        <v>7</v>
      </c>
      <c r="I32" s="7" t="s">
        <v>13</v>
      </c>
      <c r="L32" s="7">
        <v>128</v>
      </c>
      <c r="M32" s="7">
        <v>2</v>
      </c>
      <c r="N32" s="7">
        <v>128</v>
      </c>
      <c r="O32" s="7">
        <v>100</v>
      </c>
      <c r="P32" s="9">
        <f>8*60+34</f>
        <v>514</v>
      </c>
      <c r="Q32" s="9">
        <f>R32-P32</f>
        <v>1849.625</v>
      </c>
      <c r="R32" s="9">
        <v>2363.625</v>
      </c>
      <c r="S32" s="10">
        <v>-2469089.191933</v>
      </c>
      <c r="T32" s="28">
        <f>P32/P31</f>
        <v>2.9684822780193065</v>
      </c>
      <c r="U32" s="28">
        <f t="shared" ref="U32:V32" si="5">Q32/Q31</f>
        <v>6.9220615890188979</v>
      </c>
      <c r="V32" s="28">
        <f t="shared" si="5"/>
        <v>5.3674870671237924</v>
      </c>
      <c r="W32" s="7"/>
    </row>
    <row r="33" spans="1:23" x14ac:dyDescent="0.2">
      <c r="A33" s="7"/>
      <c r="B33" s="7"/>
      <c r="C33" s="7"/>
      <c r="D33" s="7"/>
      <c r="E33" s="7"/>
      <c r="F33" s="7"/>
      <c r="G33" s="9" t="s">
        <v>56</v>
      </c>
      <c r="H33" s="7" t="s">
        <v>38</v>
      </c>
      <c r="I33" s="7" t="s">
        <v>38</v>
      </c>
      <c r="L33" s="7" t="s">
        <v>38</v>
      </c>
      <c r="M33" s="7" t="s">
        <v>38</v>
      </c>
      <c r="N33" s="7" t="s">
        <v>38</v>
      </c>
      <c r="O33" s="7" t="s">
        <v>38</v>
      </c>
      <c r="P33" s="9">
        <f>4*60+47</f>
        <v>287</v>
      </c>
      <c r="Q33" s="9">
        <f>R33-P33</f>
        <v>1269.2670000000001</v>
      </c>
      <c r="R33" s="9">
        <v>1556.2670000000001</v>
      </c>
      <c r="S33" s="9">
        <v>-2469089.1923540002</v>
      </c>
      <c r="T33" s="28">
        <f>P33/P31</f>
        <v>1.6574988595166167</v>
      </c>
      <c r="U33" s="28">
        <f t="shared" ref="U33:V33" si="6">Q33/Q31</f>
        <v>4.750121968998716</v>
      </c>
      <c r="V33" s="28">
        <f t="shared" si="6"/>
        <v>3.5340813350220714</v>
      </c>
      <c r="W33" s="28">
        <f>R32/R33</f>
        <v>1.5187785900491368</v>
      </c>
    </row>
    <row r="34" spans="1:23" x14ac:dyDescent="0.2">
      <c r="A34" s="7"/>
      <c r="B34" s="7"/>
      <c r="C34" s="7"/>
      <c r="D34" s="7"/>
      <c r="E34" s="7"/>
      <c r="F34" s="7"/>
      <c r="G34" s="7"/>
      <c r="H34" s="7"/>
      <c r="L34" s="7"/>
      <c r="R34" s="7"/>
      <c r="S34" s="7"/>
      <c r="T34" s="7"/>
      <c r="U34" s="7"/>
      <c r="V34" s="7"/>
      <c r="W34" s="7"/>
    </row>
    <row r="35" spans="1:23" x14ac:dyDescent="0.2">
      <c r="A35" s="11" t="s">
        <v>48</v>
      </c>
      <c r="B35" s="7" t="s">
        <v>10</v>
      </c>
      <c r="C35" s="9">
        <v>74</v>
      </c>
      <c r="D35" s="9">
        <v>7781453</v>
      </c>
      <c r="E35" s="9">
        <v>664883</v>
      </c>
      <c r="F35" s="29">
        <v>1</v>
      </c>
      <c r="G35" s="13" t="s">
        <v>29</v>
      </c>
      <c r="H35" s="7" t="s">
        <v>22</v>
      </c>
      <c r="I35" s="7" t="s">
        <v>23</v>
      </c>
      <c r="K35" s="7">
        <v>128</v>
      </c>
      <c r="N35" s="7">
        <v>128</v>
      </c>
      <c r="O35" s="7">
        <v>100</v>
      </c>
      <c r="P35" s="9">
        <v>1215.17967</v>
      </c>
      <c r="Q35" s="9">
        <f>R35-P35</f>
        <v>2192.776323</v>
      </c>
      <c r="R35" s="10">
        <v>3407.955993</v>
      </c>
      <c r="S35" s="10">
        <v>-13355188.077298</v>
      </c>
      <c r="T35" s="30"/>
      <c r="U35" s="30"/>
      <c r="V35" s="30"/>
      <c r="W35" s="30"/>
    </row>
    <row r="36" spans="1:23" x14ac:dyDescent="0.2">
      <c r="F36" s="11"/>
      <c r="G36" s="9" t="s">
        <v>57</v>
      </c>
      <c r="H36" s="7" t="s">
        <v>7</v>
      </c>
      <c r="I36" s="7" t="s">
        <v>13</v>
      </c>
      <c r="L36" s="7">
        <v>128</v>
      </c>
      <c r="M36" s="7">
        <v>1</v>
      </c>
      <c r="N36" s="7">
        <v>128</v>
      </c>
      <c r="O36" s="7">
        <v>100</v>
      </c>
      <c r="P36" s="9">
        <f>3600+43*60+10</f>
        <v>6190</v>
      </c>
      <c r="Q36" s="9">
        <f>R36-P36</f>
        <v>24105.785</v>
      </c>
      <c r="R36" s="21">
        <v>30295.785</v>
      </c>
      <c r="S36" s="21">
        <v>-13346286.137897</v>
      </c>
      <c r="T36" s="25">
        <f>P36/P35</f>
        <v>5.0938969378906744</v>
      </c>
      <c r="U36" s="25">
        <f t="shared" ref="U36:V36" si="7">Q36/Q35</f>
        <v>10.99327129135551</v>
      </c>
      <c r="V36" s="25">
        <f t="shared" si="7"/>
        <v>8.889723066327166</v>
      </c>
      <c r="W36" s="30"/>
    </row>
    <row r="37" spans="1:23" x14ac:dyDescent="0.2">
      <c r="F37" s="7"/>
      <c r="G37" s="9" t="s">
        <v>56</v>
      </c>
      <c r="H37" s="7"/>
      <c r="I37" s="7" t="s">
        <v>38</v>
      </c>
      <c r="L37" s="5" t="s">
        <v>38</v>
      </c>
      <c r="M37" s="7" t="s">
        <v>38</v>
      </c>
      <c r="N37" s="7" t="s">
        <v>38</v>
      </c>
      <c r="O37" s="7" t="s">
        <v>38</v>
      </c>
      <c r="P37" s="9">
        <f>3600+9*60+18</f>
        <v>4158</v>
      </c>
      <c r="Q37" s="9">
        <f>R37-P37</f>
        <v>16491.021000000001</v>
      </c>
      <c r="R37" s="21">
        <v>20649.021000000001</v>
      </c>
      <c r="S37" s="10">
        <v>-13346286.135384001</v>
      </c>
      <c r="T37" s="25">
        <f>P37/P35</f>
        <v>3.4217162306541882</v>
      </c>
      <c r="U37" s="25">
        <f t="shared" ref="U37:V37" si="8">Q37/Q35</f>
        <v>7.5206124888461776</v>
      </c>
      <c r="V37" s="25">
        <f t="shared" si="8"/>
        <v>6.0590632749992794</v>
      </c>
      <c r="W37" s="30">
        <f>R36/R37</f>
        <v>1.4671777901722314</v>
      </c>
    </row>
    <row r="39" spans="1:23" x14ac:dyDescent="0.2">
      <c r="A39" s="8" t="s">
        <v>33</v>
      </c>
      <c r="B39" s="7" t="s">
        <v>34</v>
      </c>
      <c r="C39" s="9">
        <v>140</v>
      </c>
      <c r="D39" s="9">
        <v>1104</v>
      </c>
      <c r="E39" s="9">
        <v>1041</v>
      </c>
      <c r="F39" s="9">
        <v>1</v>
      </c>
      <c r="G39" s="13" t="s">
        <v>29</v>
      </c>
      <c r="H39" s="7" t="s">
        <v>37</v>
      </c>
      <c r="I39" s="7" t="s">
        <v>23</v>
      </c>
      <c r="J39" s="7">
        <v>10</v>
      </c>
      <c r="K39" s="7">
        <v>8</v>
      </c>
      <c r="L39" s="2"/>
      <c r="N39" s="7">
        <v>80</v>
      </c>
      <c r="O39" s="7">
        <v>100</v>
      </c>
      <c r="P39" s="9">
        <f>R39-Q39</f>
        <v>343.218951</v>
      </c>
      <c r="Q39" s="19">
        <v>111.416365</v>
      </c>
      <c r="R39" s="19">
        <v>454.63531599999999</v>
      </c>
      <c r="S39" s="19">
        <v>-121809.49860000001</v>
      </c>
      <c r="T39" s="20"/>
    </row>
    <row r="40" spans="1:23" x14ac:dyDescent="0.2">
      <c r="A40" s="11" t="s">
        <v>35</v>
      </c>
      <c r="B40" s="7"/>
      <c r="C40" s="9"/>
      <c r="D40" s="9"/>
      <c r="E40" s="9"/>
      <c r="F40" s="9"/>
      <c r="G40" s="9" t="s">
        <v>57</v>
      </c>
      <c r="H40" s="7" t="s">
        <v>36</v>
      </c>
      <c r="I40" s="7" t="s">
        <v>13</v>
      </c>
      <c r="L40" s="2">
        <v>80</v>
      </c>
      <c r="M40" s="7">
        <v>20</v>
      </c>
      <c r="N40" s="7">
        <v>80</v>
      </c>
      <c r="O40" s="7">
        <v>100</v>
      </c>
      <c r="P40" s="19">
        <f>5*60+8</f>
        <v>308</v>
      </c>
      <c r="Q40" s="19">
        <f>R40-P40</f>
        <v>1223.01</v>
      </c>
      <c r="R40" s="21">
        <v>1531.01</v>
      </c>
      <c r="S40" s="21">
        <v>-121809.498571</v>
      </c>
      <c r="T40" s="28">
        <f>P40/P39</f>
        <v>0.89738634507976223</v>
      </c>
      <c r="U40" s="28">
        <f>Q40/Q39</f>
        <v>10.976933235974805</v>
      </c>
      <c r="V40" s="28">
        <f>R40/R39</f>
        <v>3.3675562502935872</v>
      </c>
      <c r="W40" s="28"/>
    </row>
    <row r="41" spans="1:23" x14ac:dyDescent="0.2">
      <c r="A41" s="11"/>
      <c r="B41" s="7"/>
      <c r="C41" s="9"/>
      <c r="D41" s="9"/>
      <c r="E41" s="9"/>
      <c r="F41" s="9"/>
      <c r="G41" s="9" t="s">
        <v>56</v>
      </c>
      <c r="H41" s="7" t="s">
        <v>38</v>
      </c>
      <c r="I41" s="7" t="s">
        <v>38</v>
      </c>
      <c r="L41" s="2" t="s">
        <v>38</v>
      </c>
      <c r="M41" s="7" t="s">
        <v>38</v>
      </c>
      <c r="N41" s="7" t="s">
        <v>38</v>
      </c>
      <c r="O41" s="9" t="s">
        <v>38</v>
      </c>
      <c r="P41" s="19">
        <f>2*60+42</f>
        <v>162</v>
      </c>
      <c r="Q41" s="19">
        <f>R41-P41</f>
        <v>679.32799999999997</v>
      </c>
      <c r="R41" s="21">
        <v>841.32799999999997</v>
      </c>
      <c r="S41" s="21">
        <v>-121809.498569</v>
      </c>
      <c r="T41" s="28">
        <f>P41/P39</f>
        <v>0.47200190877571907</v>
      </c>
      <c r="U41" s="28">
        <f>Q41/Q39</f>
        <v>6.0972012504626223</v>
      </c>
      <c r="V41" s="28">
        <f>R41/R39</f>
        <v>1.8505557540100999</v>
      </c>
      <c r="W41" s="28">
        <f>R40/R41</f>
        <v>1.8197540079493373</v>
      </c>
    </row>
    <row r="42" spans="1:23" x14ac:dyDescent="0.2">
      <c r="A42" s="8"/>
      <c r="I42" s="20"/>
      <c r="J42" s="18"/>
      <c r="K42" s="18"/>
      <c r="L42" s="7"/>
      <c r="M42" s="18"/>
      <c r="N42" s="18"/>
      <c r="P42" s="9"/>
      <c r="Q42" s="9"/>
      <c r="R42" s="27"/>
      <c r="S42" s="9"/>
      <c r="T42" s="7"/>
      <c r="U42" s="7"/>
      <c r="V42" s="7"/>
      <c r="W42" s="28"/>
    </row>
    <row r="43" spans="1:23" x14ac:dyDescent="0.2">
      <c r="G43" s="13" t="s">
        <v>29</v>
      </c>
      <c r="H43" s="7" t="s">
        <v>37</v>
      </c>
      <c r="I43" s="7" t="s">
        <v>25</v>
      </c>
      <c r="J43" s="18">
        <v>10</v>
      </c>
      <c r="K43" s="18">
        <v>8</v>
      </c>
      <c r="L43" s="7"/>
      <c r="M43" s="18"/>
      <c r="N43" s="18">
        <v>80</v>
      </c>
      <c r="O43" s="7">
        <v>150</v>
      </c>
      <c r="P43" s="19">
        <f>R43-Q43</f>
        <v>411.06720599999994</v>
      </c>
      <c r="Q43" s="19">
        <v>183.13404399999999</v>
      </c>
      <c r="R43" s="21">
        <v>594.20124999999996</v>
      </c>
      <c r="S43" s="19">
        <v>-121809.49860000001</v>
      </c>
      <c r="T43" s="7"/>
      <c r="U43" s="7"/>
      <c r="V43" s="7"/>
      <c r="W43" s="25"/>
    </row>
    <row r="44" spans="1:23" x14ac:dyDescent="0.2">
      <c r="G44" s="9" t="s">
        <v>57</v>
      </c>
      <c r="H44" s="7" t="s">
        <v>36</v>
      </c>
      <c r="I44" s="18" t="s">
        <v>16</v>
      </c>
      <c r="J44" s="18"/>
      <c r="K44" s="18"/>
      <c r="L44" s="18">
        <v>80</v>
      </c>
      <c r="M44" s="18">
        <v>20</v>
      </c>
      <c r="N44" s="18">
        <v>80</v>
      </c>
      <c r="O44" s="18">
        <v>600</v>
      </c>
      <c r="P44" s="19">
        <f>4*60+48</f>
        <v>288</v>
      </c>
      <c r="Q44" s="19">
        <f>R44-P44</f>
        <v>6578.2219999999998</v>
      </c>
      <c r="R44" s="21">
        <v>6866.2219999999998</v>
      </c>
      <c r="S44" s="21">
        <v>-121809.498571</v>
      </c>
      <c r="T44" s="25">
        <f>P44/P43</f>
        <v>0.70061536361039722</v>
      </c>
      <c r="U44" s="25">
        <f>Q44/Q43</f>
        <v>35.920257404461623</v>
      </c>
      <c r="V44" s="25">
        <f>R44/R43</f>
        <v>11.55538127864928</v>
      </c>
      <c r="W44" s="25"/>
    </row>
    <row r="45" spans="1:23" x14ac:dyDescent="0.2">
      <c r="G45" s="9" t="s">
        <v>56</v>
      </c>
      <c r="H45" s="7" t="s">
        <v>38</v>
      </c>
      <c r="I45" s="18" t="s">
        <v>38</v>
      </c>
      <c r="J45" s="18"/>
      <c r="K45" s="18"/>
      <c r="L45" s="18" t="s">
        <v>38</v>
      </c>
      <c r="M45" s="18" t="s">
        <v>38</v>
      </c>
      <c r="N45" s="18" t="s">
        <v>38</v>
      </c>
      <c r="O45" s="18">
        <v>500</v>
      </c>
      <c r="P45" s="19">
        <f>2*60+36</f>
        <v>156</v>
      </c>
      <c r="Q45" s="19">
        <f>R45-P45</f>
        <v>3342.0079999999998</v>
      </c>
      <c r="R45" s="21">
        <v>3498.0079999999998</v>
      </c>
      <c r="S45" s="21">
        <v>-121809.498569</v>
      </c>
      <c r="T45" s="25">
        <f>P45/P43</f>
        <v>0.37949998862229845</v>
      </c>
      <c r="U45" s="25">
        <f t="shared" ref="U45:V45" si="9">Q45/Q43</f>
        <v>18.248971775013061</v>
      </c>
      <c r="V45" s="25">
        <f t="shared" si="9"/>
        <v>5.8869078447748135</v>
      </c>
      <c r="W45" s="25">
        <f>R44/R45</f>
        <v>1.9628948818870626</v>
      </c>
    </row>
    <row r="47" spans="1:23" x14ac:dyDescent="0.2">
      <c r="A47" s="11" t="s">
        <v>49</v>
      </c>
      <c r="B47" s="7" t="s">
        <v>34</v>
      </c>
      <c r="C47" s="9">
        <v>143</v>
      </c>
      <c r="D47" s="9">
        <v>43778</v>
      </c>
      <c r="E47" s="9">
        <v>18044</v>
      </c>
      <c r="F47" s="9">
        <v>1</v>
      </c>
      <c r="G47" s="13" t="s">
        <v>29</v>
      </c>
      <c r="H47" s="7" t="s">
        <v>52</v>
      </c>
      <c r="I47" s="7" t="s">
        <v>23</v>
      </c>
      <c r="J47" s="7">
        <v>5</v>
      </c>
      <c r="K47" s="7">
        <v>25</v>
      </c>
      <c r="N47" s="7">
        <v>125</v>
      </c>
      <c r="O47" s="7">
        <v>100</v>
      </c>
      <c r="P47" s="9">
        <v>2579.279239</v>
      </c>
      <c r="Q47" s="9">
        <f>R47-P47</f>
        <v>751.53693699999985</v>
      </c>
      <c r="R47" s="21">
        <v>3330.8161759999998</v>
      </c>
      <c r="S47" s="10">
        <v>-207978.568833</v>
      </c>
      <c r="T47" s="25"/>
      <c r="U47" s="25"/>
      <c r="V47" s="25"/>
      <c r="W47" s="25"/>
    </row>
    <row r="48" spans="1:23" x14ac:dyDescent="0.2">
      <c r="A48" s="3"/>
      <c r="G48" s="9" t="s">
        <v>57</v>
      </c>
      <c r="H48" s="7" t="s">
        <v>50</v>
      </c>
      <c r="I48" s="7" t="s">
        <v>13</v>
      </c>
      <c r="L48" s="7">
        <v>125</v>
      </c>
      <c r="M48" s="7">
        <v>5</v>
      </c>
      <c r="N48" s="7">
        <v>125</v>
      </c>
      <c r="O48" s="7">
        <v>100</v>
      </c>
      <c r="P48" s="9">
        <f>2*3600+45*60+11</f>
        <v>9911</v>
      </c>
      <c r="Q48" s="9">
        <f>R48-P48</f>
        <v>29201.841999999997</v>
      </c>
      <c r="R48" s="21">
        <v>39112.841999999997</v>
      </c>
      <c r="S48" s="21">
        <v>-207982.18019700001</v>
      </c>
      <c r="T48" s="25">
        <f>P48/P47</f>
        <v>3.8425463401328144</v>
      </c>
      <c r="U48" s="25">
        <f t="shared" ref="U48:V48" si="10">Q48/Q47</f>
        <v>38.85616336645873</v>
      </c>
      <c r="V48" s="25">
        <f t="shared" si="10"/>
        <v>11.74272008219045</v>
      </c>
      <c r="W48" s="25"/>
    </row>
    <row r="49" spans="1:23" x14ac:dyDescent="0.2">
      <c r="A49" s="3"/>
      <c r="G49" s="9" t="s">
        <v>56</v>
      </c>
      <c r="H49" s="15" t="s">
        <v>38</v>
      </c>
      <c r="I49" s="7" t="s">
        <v>38</v>
      </c>
      <c r="L49" s="5" t="s">
        <v>38</v>
      </c>
      <c r="M49" s="7" t="s">
        <v>38</v>
      </c>
      <c r="N49" s="7" t="s">
        <v>38</v>
      </c>
      <c r="O49" s="7" t="s">
        <v>38</v>
      </c>
      <c r="P49" s="9">
        <f>3600+2*60+52</f>
        <v>3772</v>
      </c>
      <c r="Q49" s="9">
        <f>R49-P49</f>
        <v>16882.39</v>
      </c>
      <c r="R49" s="21">
        <v>20654.39</v>
      </c>
      <c r="S49" s="10">
        <v>-207988.38185400001</v>
      </c>
      <c r="T49" s="25">
        <f>P49/P47</f>
        <v>1.4624240535749142</v>
      </c>
      <c r="U49" s="25">
        <f t="shared" ref="U49:V49" si="11">Q49/Q47</f>
        <v>22.463819366472475</v>
      </c>
      <c r="V49" s="25">
        <f t="shared" si="11"/>
        <v>6.2009996675361414</v>
      </c>
      <c r="W49" s="25">
        <f>R48/R49</f>
        <v>1.8936817790309952</v>
      </c>
    </row>
    <row r="51" spans="1:23" x14ac:dyDescent="0.2">
      <c r="A51" s="11" t="s">
        <v>51</v>
      </c>
      <c r="B51" s="7" t="s">
        <v>34</v>
      </c>
      <c r="C51" s="10">
        <v>68</v>
      </c>
      <c r="D51" s="10">
        <v>284263</v>
      </c>
      <c r="E51" s="10">
        <v>231671</v>
      </c>
      <c r="F51" s="10">
        <v>649</v>
      </c>
      <c r="G51" s="13" t="s">
        <v>29</v>
      </c>
      <c r="H51" s="7" t="s">
        <v>52</v>
      </c>
      <c r="I51" s="7" t="s">
        <v>23</v>
      </c>
      <c r="J51" s="7">
        <v>10</v>
      </c>
      <c r="K51" s="7">
        <v>12</v>
      </c>
      <c r="N51" s="7">
        <v>120</v>
      </c>
      <c r="O51" s="7">
        <v>100</v>
      </c>
      <c r="P51" s="9">
        <v>50974.284313999997</v>
      </c>
      <c r="Q51" s="9">
        <f>R51-P51</f>
        <v>34462.680163000005</v>
      </c>
      <c r="R51" s="21">
        <v>85436.964477000001</v>
      </c>
      <c r="S51" s="10">
        <v>-5736044.01504</v>
      </c>
      <c r="T51" s="11"/>
      <c r="U51" s="11"/>
      <c r="V51" s="11"/>
      <c r="W51" s="11"/>
    </row>
    <row r="52" spans="1:23" x14ac:dyDescent="0.2">
      <c r="G52" s="9" t="s">
        <v>57</v>
      </c>
      <c r="H52" s="7" t="s">
        <v>50</v>
      </c>
      <c r="I52" s="7" t="s">
        <v>13</v>
      </c>
      <c r="L52" s="7">
        <v>128</v>
      </c>
      <c r="M52" s="7">
        <v>1</v>
      </c>
      <c r="N52" s="7">
        <v>128</v>
      </c>
      <c r="O52" s="7">
        <v>100</v>
      </c>
      <c r="P52" s="9">
        <f>4*3600+23*60+58</f>
        <v>15838</v>
      </c>
      <c r="Q52" s="19">
        <f>R52-P52</f>
        <v>62933.816999999995</v>
      </c>
      <c r="R52" s="21">
        <v>78771.816999999995</v>
      </c>
      <c r="S52" s="10">
        <v>-5726343.1777179996</v>
      </c>
      <c r="T52" s="25">
        <f>P52/P51</f>
        <v>0.31070568646807112</v>
      </c>
      <c r="U52" s="25">
        <f t="shared" ref="U52:V52" si="12">Q52/Q51</f>
        <v>1.8261440115028347</v>
      </c>
      <c r="V52" s="25">
        <f t="shared" si="12"/>
        <v>0.92198754347371159</v>
      </c>
      <c r="W52" s="25"/>
    </row>
    <row r="53" spans="1:23" x14ac:dyDescent="0.2">
      <c r="G53" s="9" t="s">
        <v>56</v>
      </c>
      <c r="H53" s="15" t="s">
        <v>38</v>
      </c>
      <c r="I53" s="7" t="s">
        <v>38</v>
      </c>
      <c r="L53" s="7" t="s">
        <v>38</v>
      </c>
      <c r="M53" s="7" t="s">
        <v>38</v>
      </c>
      <c r="N53" s="7" t="s">
        <v>38</v>
      </c>
      <c r="O53" s="7" t="s">
        <v>38</v>
      </c>
      <c r="P53" s="9">
        <f>2*3600+44*60+8</f>
        <v>9848</v>
      </c>
      <c r="Q53" s="19">
        <f>R53-P53</f>
        <v>40463.447</v>
      </c>
      <c r="R53" s="21">
        <v>50311.447</v>
      </c>
      <c r="S53" s="10">
        <v>-5726343.2475899998</v>
      </c>
      <c r="T53" s="25">
        <f>P53/P52</f>
        <v>0.62179568127288798</v>
      </c>
      <c r="U53" s="25">
        <f t="shared" ref="U53" si="13">Q53/Q52</f>
        <v>0.64295237328446175</v>
      </c>
      <c r="V53" s="25">
        <f t="shared" ref="V53" si="14">R53/R52</f>
        <v>0.6386985715969965</v>
      </c>
      <c r="W53" s="25">
        <f>R52/R53</f>
        <v>1.5656837896155122</v>
      </c>
    </row>
    <row r="55" spans="1:23" x14ac:dyDescent="0.2">
      <c r="A55" s="1" t="s">
        <v>18</v>
      </c>
    </row>
    <row r="56" spans="1:23" x14ac:dyDescent="0.2">
      <c r="A56" s="3" t="s">
        <v>17</v>
      </c>
    </row>
    <row r="57" spans="1:23" x14ac:dyDescent="0.2">
      <c r="A57" s="3" t="s">
        <v>43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All-in-one searches</vt:lpstr>
    </vt:vector>
  </TitlesOfParts>
  <Company>SDSC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Pfeiffer</dc:creator>
  <cp:lastModifiedBy>Microsoft Office User</cp:lastModifiedBy>
  <dcterms:created xsi:type="dcterms:W3CDTF">2014-06-25T16:55:17Z</dcterms:created>
  <dcterms:modified xsi:type="dcterms:W3CDTF">2022-07-28T15:18:41Z</dcterms:modified>
</cp:coreProperties>
</file>