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2210" activeTab="0"/>
  </bookViews>
  <sheets>
    <sheet name="hex to float" sheetId="1" r:id="rId1"/>
    <sheet name="float to hex" sheetId="2" r:id="rId2"/>
  </sheets>
  <definedNames/>
  <calcPr fullCalcOnLoad="1"/>
</workbook>
</file>

<file path=xl/sharedStrings.xml><?xml version="1.0" encoding="utf-8"?>
<sst xmlns="http://schemas.openxmlformats.org/spreadsheetml/2006/main" count="104" uniqueCount="64">
  <si>
    <t>Least significant</t>
  </si>
  <si>
    <t>most significant</t>
  </si>
  <si>
    <t>32 bits</t>
  </si>
  <si>
    <t>binary</t>
  </si>
  <si>
    <t>hex</t>
  </si>
  <si>
    <t>decimal</t>
  </si>
  <si>
    <t>4 bytes</t>
  </si>
  <si>
    <t>first bit</t>
  </si>
  <si>
    <t>next 8 bits</t>
  </si>
  <si>
    <t>SIGN</t>
  </si>
  <si>
    <t>EXPONENT</t>
  </si>
  <si>
    <t>subtract 127</t>
  </si>
  <si>
    <t>final 23 bits</t>
  </si>
  <si>
    <t>total</t>
  </si>
  <si>
    <t>each row is half of that above</t>
  </si>
  <si>
    <t>FLOAT</t>
  </si>
  <si>
    <t>invert</t>
  </si>
  <si>
    <t>FLOAT = SIGN x  MANTISSA x ( 2 ^ EXPONENT )</t>
  </si>
  <si>
    <t>80 00 00 hex</t>
  </si>
  <si>
    <t>high word</t>
  </si>
  <si>
    <t>low word</t>
  </si>
  <si>
    <t>alternate method of calculating the mantissa</t>
  </si>
  <si>
    <t>This sheet requires the Analysis Toolpak to be loaded.  Select the Tools Menu &gt; Add-Ins... &gt; check Analysis Toolpack</t>
  </si>
  <si>
    <t>high byte</t>
  </si>
  <si>
    <t>low byte</t>
  </si>
  <si>
    <t>INSTRUCTIONS</t>
  </si>
  <si>
    <t>&lt; Enter these 2 words as decimal numbers</t>
  </si>
  <si>
    <t>&lt; or enter these 2 words in hex</t>
  </si>
  <si>
    <t>&lt; or enter these 4 bytes as decimal numbers</t>
  </si>
  <si>
    <t>&lt; or enter these 4 bytes in hex</t>
  </si>
  <si>
    <t>&lt; or enter these 4 bytes as 8 bit binary strings</t>
  </si>
  <si>
    <t>2 words</t>
  </si>
  <si>
    <t>1st bit</t>
  </si>
  <si>
    <t>add 127</t>
  </si>
  <si>
    <t>subtract 1</t>
  </si>
  <si>
    <t>byte4</t>
  </si>
  <si>
    <t>byte3</t>
  </si>
  <si>
    <t>byte2</t>
  </si>
  <si>
    <t>byte1</t>
  </si>
  <si>
    <t>&lt; Enter floating point number</t>
  </si>
  <si>
    <t>multiply</t>
  </si>
  <si>
    <t>div by 256</t>
  </si>
  <si>
    <t>remainder</t>
  </si>
  <si>
    <t>integer</t>
  </si>
  <si>
    <t>40 00 00 hex</t>
  </si>
  <si>
    <t>if No Exponent bits</t>
  </si>
  <si>
    <t>divide above and add 1</t>
  </si>
  <si>
    <t>divide above</t>
  </si>
  <si>
    <t xml:space="preserve">       if no exponent bits</t>
  </si>
  <si>
    <t>MANTISSA ( SIGNIFICAND )</t>
  </si>
  <si>
    <t xml:space="preserve">    or if no exponent bits</t>
  </si>
  <si>
    <t>mantissa</t>
  </si>
  <si>
    <t>for numbers near zero</t>
  </si>
  <si>
    <t>positive numbers less than 1E-38 (numbers starting with less than 00 7F)</t>
  </si>
  <si>
    <t>negative numbers greater than -1E-38 (numbers starting with less than 10 7F)</t>
  </si>
  <si>
    <t>subtract if result&gt;0</t>
  </si>
  <si>
    <t>Courtesy of</t>
  </si>
  <si>
    <t>www.simplymodbus.ca</t>
  </si>
  <si>
    <t xml:space="preserve">alternate method of calculating the </t>
  </si>
  <si>
    <t>if no exponent bits</t>
  </si>
  <si>
    <t>"1" if result&gt;0</t>
  </si>
  <si>
    <t>round up the previous bit if this bit is 1</t>
  </si>
  <si>
    <t>Rev04 - Dec18, 2015</t>
  </si>
  <si>
    <t>to 2 decimal places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</si>
</sst>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"/>
    <numFmt numFmtId="173" formatCode="00000000"/>
    <numFmt numFmtId="174" formatCode="00"/>
    <numFmt numFmtId="175" formatCode="000000000"/>
    <numFmt numFmtId="176" formatCode="0000000"/>
    <numFmt numFmtId="177" formatCode="0.0"/>
    <numFmt numFmtId="178" formatCode="0.000000E+00"/>
    <numFmt numFmtId="179" formatCode="0.0000000E+00"/>
    <numFmt numFmtId="180" formatCode="0.00000000E+00"/>
    <numFmt numFmtId="181" formatCode="\'00"/>
    <numFmt numFmtId="182" formatCode="0.00000E+00"/>
    <numFmt numFmtId="183" formatCode="0.000000000"/>
    <numFmt numFmtId="184" formatCode="0.00000000"/>
    <numFmt numFmtId="185" formatCode="0.0000000"/>
    <numFmt numFmtId="186" formatCode="0.0000E+00"/>
    <numFmt numFmtId="187" formatCode="0.000E+00"/>
    <numFmt numFmtId="188" formatCode="0.000000"/>
    <numFmt numFmtId="189" formatCode="0.00000"/>
    <numFmt numFmtId="190" formatCode="0.0000"/>
    <numFmt numFmtId="191" formatCode="0.000"/>
    <numFmt numFmtId="192" formatCode="0.0E+00"/>
    <numFmt numFmtId="193" formatCode="0E+00"/>
    <numFmt numFmtId="194" formatCode="0.000000000E+00"/>
    <numFmt numFmtId="195" formatCode="0.0000000000E+00"/>
    <numFmt numFmtId="196" formatCode="0.0000000;[Red]0.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;[Red]0.00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2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34" borderId="15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21" xfId="0" applyFill="1" applyBorder="1" applyAlignment="1">
      <alignment/>
    </xf>
    <xf numFmtId="0" fontId="0" fillId="0" borderId="15" xfId="0" applyBorder="1" applyAlignment="1">
      <alignment/>
    </xf>
    <xf numFmtId="0" fontId="0" fillId="34" borderId="16" xfId="0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0" fontId="0" fillId="34" borderId="0" xfId="0" applyFill="1" applyAlignment="1">
      <alignment horizontal="right"/>
    </xf>
    <xf numFmtId="0" fontId="5" fillId="0" borderId="0" xfId="0" applyFont="1" applyBorder="1" applyAlignment="1">
      <alignment horizontal="right"/>
    </xf>
    <xf numFmtId="0" fontId="4" fillId="34" borderId="16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horizontal="right"/>
    </xf>
    <xf numFmtId="0" fontId="0" fillId="0" borderId="21" xfId="0" applyBorder="1" applyAlignment="1">
      <alignment/>
    </xf>
    <xf numFmtId="0" fontId="4" fillId="34" borderId="24" xfId="0" applyFont="1" applyFill="1" applyBorder="1" applyAlignment="1">
      <alignment horizontal="center"/>
    </xf>
    <xf numFmtId="179" fontId="0" fillId="0" borderId="0" xfId="0" applyNumberFormat="1" applyAlignment="1">
      <alignment/>
    </xf>
    <xf numFmtId="179" fontId="0" fillId="34" borderId="17" xfId="0" applyNumberFormat="1" applyFill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5" fillId="0" borderId="1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2" xfId="0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34" borderId="14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5" fillId="0" borderId="14" xfId="0" applyFont="1" applyBorder="1" applyAlignment="1">
      <alignment horizontal="center"/>
    </xf>
    <xf numFmtId="185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85" fontId="0" fillId="0" borderId="0" xfId="0" applyNumberFormat="1" applyBorder="1" applyAlignment="1">
      <alignment horizontal="right"/>
    </xf>
    <xf numFmtId="185" fontId="0" fillId="33" borderId="16" xfId="0" applyNumberFormat="1" applyFill="1" applyBorder="1" applyAlignment="1">
      <alignment/>
    </xf>
    <xf numFmtId="185" fontId="0" fillId="33" borderId="24" xfId="0" applyNumberFormat="1" applyFill="1" applyBorder="1" applyAlignment="1">
      <alignment/>
    </xf>
    <xf numFmtId="0" fontId="0" fillId="33" borderId="23" xfId="0" applyFill="1" applyBorder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85" fontId="0" fillId="33" borderId="16" xfId="0" applyNumberFormat="1" applyFill="1" applyBorder="1" applyAlignment="1">
      <alignment horizontal="center"/>
    </xf>
    <xf numFmtId="185" fontId="0" fillId="0" borderId="0" xfId="0" applyNumberFormat="1" applyFill="1" applyBorder="1" applyAlignment="1">
      <alignment horizontal="right"/>
    </xf>
    <xf numFmtId="0" fontId="41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2" fillId="0" borderId="0" xfId="53" applyAlignment="1" applyProtection="1">
      <alignment/>
      <protection/>
    </xf>
    <xf numFmtId="0" fontId="1" fillId="0" borderId="0" xfId="0" applyFont="1" applyAlignment="1">
      <alignment/>
    </xf>
    <xf numFmtId="185" fontId="0" fillId="0" borderId="14" xfId="0" applyNumberFormat="1" applyBorder="1" applyAlignment="1">
      <alignment/>
    </xf>
    <xf numFmtId="0" fontId="41" fillId="0" borderId="14" xfId="0" applyFont="1" applyBorder="1" applyAlignment="1">
      <alignment horizontal="center"/>
    </xf>
    <xf numFmtId="0" fontId="41" fillId="35" borderId="0" xfId="0" applyFont="1" applyFill="1" applyAlignment="1">
      <alignment horizontal="center"/>
    </xf>
    <xf numFmtId="0" fontId="0" fillId="35" borderId="0" xfId="0" applyFill="1" applyAlignment="1">
      <alignment/>
    </xf>
    <xf numFmtId="0" fontId="5" fillId="0" borderId="1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0" fillId="0" borderId="0" xfId="0" applyFont="1" applyAlignment="1">
      <alignment/>
    </xf>
    <xf numFmtId="20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34</xdr:row>
      <xdr:rowOff>9525</xdr:rowOff>
    </xdr:from>
    <xdr:to>
      <xdr:col>2</xdr:col>
      <xdr:colOff>742950</xdr:colOff>
      <xdr:row>39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5591175"/>
          <a:ext cx="2047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19050</xdr:colOff>
      <xdr:row>5</xdr:row>
      <xdr:rowOff>9525</xdr:rowOff>
    </xdr:from>
    <xdr:to>
      <xdr:col>9</xdr:col>
      <xdr:colOff>266700</xdr:colOff>
      <xdr:row>10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838200"/>
          <a:ext cx="20478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plymodbus.c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implymodbus.ca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showGridLines="0" tabSelected="1" zoomScalePageLayoutView="0" workbookViewId="0" topLeftCell="A1">
      <selection activeCell="N30" sqref="N30"/>
    </sheetView>
  </sheetViews>
  <sheetFormatPr defaultColWidth="12.7109375" defaultRowHeight="12.75"/>
  <cols>
    <col min="1" max="1" width="3.00390625" style="0" customWidth="1"/>
    <col min="2" max="2" width="19.8515625" style="0" customWidth="1"/>
    <col min="3" max="3" width="19.7109375" style="0" customWidth="1"/>
    <col min="4" max="4" width="15.28125" style="0" customWidth="1"/>
    <col min="5" max="7" width="12.7109375" style="0" customWidth="1"/>
    <col min="8" max="8" width="14.28125" style="0" customWidth="1"/>
    <col min="9" max="11" width="10.421875" style="0" customWidth="1"/>
    <col min="12" max="12" width="14.00390625" style="0" customWidth="1"/>
    <col min="13" max="13" width="15.28125" style="0" customWidth="1"/>
  </cols>
  <sheetData>
    <row r="2" ht="12.75">
      <c r="B2" t="s">
        <v>22</v>
      </c>
    </row>
    <row r="4" spans="4:7" ht="12.75">
      <c r="D4" s="1" t="s">
        <v>1</v>
      </c>
      <c r="E4" s="1"/>
      <c r="F4" s="1"/>
      <c r="G4" s="1" t="s">
        <v>0</v>
      </c>
    </row>
    <row r="5" spans="2:11" ht="12.75">
      <c r="B5" s="7"/>
      <c r="C5" s="22"/>
      <c r="D5" s="9" t="s">
        <v>19</v>
      </c>
      <c r="E5" s="9"/>
      <c r="F5" s="9" t="s">
        <v>20</v>
      </c>
      <c r="G5" s="9"/>
      <c r="H5" s="15" t="s">
        <v>25</v>
      </c>
      <c r="I5" s="15"/>
      <c r="J5" s="15"/>
      <c r="K5" s="16"/>
    </row>
    <row r="6" spans="2:11" ht="12.75">
      <c r="B6" s="25" t="s">
        <v>31</v>
      </c>
      <c r="C6" s="3" t="s">
        <v>5</v>
      </c>
      <c r="D6" s="37">
        <v>17269</v>
      </c>
      <c r="E6" s="38"/>
      <c r="F6" s="37">
        <v>31688</v>
      </c>
      <c r="G6" s="38"/>
      <c r="H6" s="17" t="s">
        <v>26</v>
      </c>
      <c r="I6" s="17"/>
      <c r="J6" s="17"/>
      <c r="K6" s="18"/>
    </row>
    <row r="7" spans="2:11" ht="12.75">
      <c r="B7" s="26"/>
      <c r="C7" s="67" t="s">
        <v>4</v>
      </c>
      <c r="D7" s="68" t="str">
        <f>RIGHT("0000"&amp;DEC2HEX(D6),4)</f>
        <v>4375</v>
      </c>
      <c r="E7" s="69"/>
      <c r="F7" s="68" t="str">
        <f>RIGHT("0000"&amp;DEC2HEX(F6),4)</f>
        <v>7BC8</v>
      </c>
      <c r="G7" s="8"/>
      <c r="H7" s="20" t="s">
        <v>27</v>
      </c>
      <c r="I7" s="20"/>
      <c r="J7" s="20"/>
      <c r="K7" s="21"/>
    </row>
    <row r="8" spans="2:11" ht="12.75">
      <c r="B8" s="25"/>
      <c r="C8" s="3"/>
      <c r="D8" s="3" t="s">
        <v>23</v>
      </c>
      <c r="E8" s="3"/>
      <c r="F8" s="3"/>
      <c r="G8" s="3" t="s">
        <v>24</v>
      </c>
      <c r="H8" s="17"/>
      <c r="I8" s="17"/>
      <c r="J8" s="17"/>
      <c r="K8" s="18"/>
    </row>
    <row r="9" spans="2:11" ht="12.75">
      <c r="B9" s="25" t="s">
        <v>6</v>
      </c>
      <c r="C9" s="3" t="s">
        <v>5</v>
      </c>
      <c r="D9" s="40">
        <f>INT(HEX2DEC(D7)/256)</f>
        <v>67</v>
      </c>
      <c r="E9" s="40">
        <f>HEX2DEC(D7)-INT(HEX2DEC(D7)/256)*256</f>
        <v>117</v>
      </c>
      <c r="F9" s="40">
        <f>INT(HEX2DEC(F7)/256)</f>
        <v>123</v>
      </c>
      <c r="G9" s="40">
        <f>HEX2DEC(F7)-INT(HEX2DEC(F7)/256)*256</f>
        <v>200</v>
      </c>
      <c r="H9" s="17" t="s">
        <v>28</v>
      </c>
      <c r="I9" s="17"/>
      <c r="J9" s="17"/>
      <c r="K9" s="18"/>
    </row>
    <row r="10" spans="2:11" ht="12.75">
      <c r="B10" s="26"/>
      <c r="C10" s="67" t="s">
        <v>4</v>
      </c>
      <c r="D10" s="68" t="str">
        <f>RIGHT("00"&amp;DEC2HEX(D9),2)</f>
        <v>43</v>
      </c>
      <c r="E10" s="68" t="str">
        <f>RIGHT("00"&amp;DEC2HEX(E9),2)</f>
        <v>75</v>
      </c>
      <c r="F10" s="68" t="str">
        <f>RIGHT("00"&amp;DEC2HEX(F9),2)</f>
        <v>7B</v>
      </c>
      <c r="G10" s="68" t="str">
        <f>RIGHT("00"&amp;DEC2HEX(G9),2)</f>
        <v>C8</v>
      </c>
      <c r="H10" s="20" t="s">
        <v>29</v>
      </c>
      <c r="I10" s="20"/>
      <c r="J10" s="20"/>
      <c r="K10" s="21"/>
    </row>
    <row r="11" spans="2:11" ht="12.75">
      <c r="B11" s="28" t="s">
        <v>2</v>
      </c>
      <c r="C11" s="70" t="s">
        <v>3</v>
      </c>
      <c r="D11" s="70" t="str">
        <f>RIGHT("00000000"&amp;HEX2BIN(D10),8)</f>
        <v>01000011</v>
      </c>
      <c r="E11" s="70" t="str">
        <f>RIGHT("00000000"&amp;HEX2BIN(E10),8)</f>
        <v>01110101</v>
      </c>
      <c r="F11" s="70" t="str">
        <f>RIGHT("00000000"&amp;HEX2BIN(F10),8)</f>
        <v>01111011</v>
      </c>
      <c r="G11" s="70" t="str">
        <f>RIGHT("00000000"&amp;HEX2BIN(G10),8)</f>
        <v>11001000</v>
      </c>
      <c r="H11" s="19" t="s">
        <v>30</v>
      </c>
      <c r="I11" s="20"/>
      <c r="J11" s="20"/>
      <c r="K11" s="21"/>
    </row>
    <row r="12" spans="2:10" ht="12.75">
      <c r="B12" s="12"/>
      <c r="C12" s="12"/>
      <c r="E12" s="3"/>
      <c r="F12" s="3"/>
      <c r="G12" s="3"/>
      <c r="H12" s="3"/>
      <c r="I12" s="3"/>
      <c r="J12" s="3"/>
    </row>
    <row r="13" spans="8:11" ht="12.75">
      <c r="H13" t="s">
        <v>21</v>
      </c>
      <c r="K13" s="66" t="s">
        <v>45</v>
      </c>
    </row>
    <row r="14" ht="12.75">
      <c r="K14" s="66" t="s">
        <v>52</v>
      </c>
    </row>
    <row r="15" ht="12.75">
      <c r="K15" s="66" t="s">
        <v>53</v>
      </c>
    </row>
    <row r="16" spans="3:11" ht="13.5" thickBot="1">
      <c r="C16" s="42" t="s">
        <v>7</v>
      </c>
      <c r="D16" s="13" t="str">
        <f>LEFT(D11,1)</f>
        <v>0</v>
      </c>
      <c r="I16" s="2" t="s">
        <v>14</v>
      </c>
      <c r="K16" s="66" t="s">
        <v>54</v>
      </c>
    </row>
    <row r="17" spans="3:11" ht="13.5" thickBot="1">
      <c r="C17" s="2" t="s">
        <v>16</v>
      </c>
      <c r="D17" s="10">
        <f>IF(D16="0",1,-1)</f>
        <v>1</v>
      </c>
      <c r="E17" s="11" t="s">
        <v>9</v>
      </c>
      <c r="H17" s="2"/>
      <c r="I17">
        <v>1</v>
      </c>
      <c r="J17" s="4">
        <v>1</v>
      </c>
      <c r="K17" s="14">
        <f aca="true" t="shared" si="0" ref="K17:K39">IF($H18="1",I17,0)</f>
        <v>1</v>
      </c>
    </row>
    <row r="18" spans="7:11" ht="12.75">
      <c r="G18" s="2" t="s">
        <v>12</v>
      </c>
      <c r="H18" s="62" t="str">
        <f>MID(E$11,2,1)</f>
        <v>1</v>
      </c>
      <c r="I18">
        <v>0.5</v>
      </c>
      <c r="J18" s="14">
        <f>IF($H18="1",I18,0)</f>
        <v>0.5</v>
      </c>
      <c r="K18" s="5">
        <f t="shared" si="0"/>
        <v>0.5</v>
      </c>
    </row>
    <row r="19" spans="3:11" ht="12.75">
      <c r="C19" s="29" t="s">
        <v>8</v>
      </c>
      <c r="D19" s="32" t="str">
        <f>RIGHT(D11,7)&amp;LEFT(E11,1)</f>
        <v>10000110</v>
      </c>
      <c r="H19" s="63" t="str">
        <f>MID(E$11,3,1)</f>
        <v>1</v>
      </c>
      <c r="I19">
        <f>I18/2</f>
        <v>0.25</v>
      </c>
      <c r="J19" s="5">
        <f aca="true" t="shared" si="1" ref="J19:J40">IF($H19="1",I19,0)</f>
        <v>0.25</v>
      </c>
      <c r="K19" s="5">
        <f t="shared" si="0"/>
        <v>0.25</v>
      </c>
    </row>
    <row r="20" spans="3:11" ht="13.5" thickBot="1">
      <c r="C20" s="2" t="s">
        <v>5</v>
      </c>
      <c r="D20" s="1">
        <f>BIN2DEC(D19)</f>
        <v>134</v>
      </c>
      <c r="H20" s="63" t="str">
        <f>MID(E$11,4,1)</f>
        <v>1</v>
      </c>
      <c r="I20">
        <f aca="true" t="shared" si="2" ref="I20:I40">I19/2</f>
        <v>0.125</v>
      </c>
      <c r="J20" s="5">
        <f t="shared" si="1"/>
        <v>0.125</v>
      </c>
      <c r="K20" s="5">
        <f t="shared" si="0"/>
        <v>0</v>
      </c>
    </row>
    <row r="21" spans="3:11" ht="13.5" thickBot="1">
      <c r="C21" s="2" t="s">
        <v>11</v>
      </c>
      <c r="D21" s="10">
        <f>D20-127</f>
        <v>7</v>
      </c>
      <c r="E21" s="11" t="s">
        <v>10</v>
      </c>
      <c r="H21" s="63" t="str">
        <f>MID(E$11,5,1)</f>
        <v>0</v>
      </c>
      <c r="I21">
        <f t="shared" si="2"/>
        <v>0.0625</v>
      </c>
      <c r="J21" s="5">
        <f t="shared" si="1"/>
        <v>0</v>
      </c>
      <c r="K21" s="5">
        <f t="shared" si="0"/>
        <v>0.0625</v>
      </c>
    </row>
    <row r="22" spans="8:11" ht="12.75">
      <c r="H22" s="63" t="str">
        <f>MID(E$11,6,1)</f>
        <v>1</v>
      </c>
      <c r="I22">
        <f t="shared" si="2"/>
        <v>0.03125</v>
      </c>
      <c r="J22" s="5">
        <f t="shared" si="1"/>
        <v>0.03125</v>
      </c>
      <c r="K22" s="5">
        <f t="shared" si="0"/>
        <v>0</v>
      </c>
    </row>
    <row r="23" spans="3:11" ht="12.75">
      <c r="C23" s="29" t="s">
        <v>12</v>
      </c>
      <c r="D23" s="30" t="str">
        <f>RIGHT(E11,7)&amp;F11&amp;G11</f>
        <v>11101010111101111001000</v>
      </c>
      <c r="E23" s="31"/>
      <c r="H23" s="63" t="str">
        <f>MID(E$11,7,1)</f>
        <v>0</v>
      </c>
      <c r="I23">
        <f t="shared" si="2"/>
        <v>0.015625</v>
      </c>
      <c r="J23" s="5">
        <f t="shared" si="1"/>
        <v>0</v>
      </c>
      <c r="K23" s="6">
        <f t="shared" si="0"/>
        <v>0.015625</v>
      </c>
    </row>
    <row r="24" spans="5:11" ht="12.75">
      <c r="E24" s="65" t="s">
        <v>48</v>
      </c>
      <c r="H24" s="64" t="str">
        <f>MID(E$11,8,1)</f>
        <v>1</v>
      </c>
      <c r="I24">
        <f t="shared" si="2"/>
        <v>0.0078125</v>
      </c>
      <c r="J24" s="6">
        <f t="shared" si="1"/>
        <v>0.0078125</v>
      </c>
      <c r="K24" s="14">
        <f t="shared" si="0"/>
        <v>0</v>
      </c>
    </row>
    <row r="25" spans="3:11" ht="12.75">
      <c r="C25" s="2" t="s">
        <v>5</v>
      </c>
      <c r="D25">
        <f>BIN2DEC(RIGHT(E11,7))*256*256+BIN2DEC(F11)*256+BIN2DEC(G11)</f>
        <v>7699400</v>
      </c>
      <c r="E25">
        <f>D25</f>
        <v>7699400</v>
      </c>
      <c r="H25" s="62" t="str">
        <f>MID(F$11,1,1)</f>
        <v>0</v>
      </c>
      <c r="I25">
        <f t="shared" si="2"/>
        <v>0.00390625</v>
      </c>
      <c r="J25" s="14">
        <f t="shared" si="1"/>
        <v>0</v>
      </c>
      <c r="K25" s="5">
        <f t="shared" si="0"/>
        <v>0.00390625</v>
      </c>
    </row>
    <row r="26" spans="3:11" ht="12.75">
      <c r="C26" s="24" t="s">
        <v>18</v>
      </c>
      <c r="D26" s="35">
        <f>HEX2DEC(800000)</f>
        <v>8388608</v>
      </c>
      <c r="E26" s="35">
        <f>HEX2DEC(400000)</f>
        <v>4194304</v>
      </c>
      <c r="F26" s="72" t="s">
        <v>44</v>
      </c>
      <c r="H26" s="63" t="str">
        <f>MID(F$11,2,1)</f>
        <v>1</v>
      </c>
      <c r="I26">
        <f t="shared" si="2"/>
        <v>0.001953125</v>
      </c>
      <c r="J26" s="5">
        <f t="shared" si="1"/>
        <v>0.001953125</v>
      </c>
      <c r="K26" s="5">
        <f t="shared" si="0"/>
        <v>0.001953125</v>
      </c>
    </row>
    <row r="27" spans="3:11" ht="13.5" thickBot="1">
      <c r="C27" s="2" t="s">
        <v>46</v>
      </c>
      <c r="D27" s="73">
        <f>D25/D26+1</f>
        <v>1.9178400039672852</v>
      </c>
      <c r="E27" s="73">
        <f>E25/E26</f>
        <v>1.8356800079345703</v>
      </c>
      <c r="F27" s="65" t="s">
        <v>47</v>
      </c>
      <c r="H27" s="63" t="str">
        <f>MID(F$11,3,1)</f>
        <v>1</v>
      </c>
      <c r="I27">
        <f t="shared" si="2"/>
        <v>0.0009765625</v>
      </c>
      <c r="J27" s="5">
        <f t="shared" si="1"/>
        <v>0.0009765625</v>
      </c>
      <c r="K27" s="5">
        <f t="shared" si="0"/>
        <v>0.0009765625</v>
      </c>
    </row>
    <row r="28" spans="3:11" ht="13.5" thickBot="1">
      <c r="C28" s="2"/>
      <c r="D28" s="74">
        <f>IF(D20&gt;0,D27,E27)</f>
        <v>1.9178400039672852</v>
      </c>
      <c r="E28" s="76" t="s">
        <v>49</v>
      </c>
      <c r="F28" s="11"/>
      <c r="H28" s="63" t="str">
        <f>MID(F$11,4,1)</f>
        <v>1</v>
      </c>
      <c r="I28">
        <f t="shared" si="2"/>
        <v>0.00048828125</v>
      </c>
      <c r="J28" s="5">
        <f t="shared" si="1"/>
        <v>0.00048828125</v>
      </c>
      <c r="K28" s="5">
        <f t="shared" si="0"/>
        <v>0.00048828125</v>
      </c>
    </row>
    <row r="29" spans="3:11" ht="12.75">
      <c r="C29" s="2"/>
      <c r="H29" s="63" t="str">
        <f>MID(F$11,5,1)</f>
        <v>1</v>
      </c>
      <c r="I29">
        <f t="shared" si="2"/>
        <v>0.000244140625</v>
      </c>
      <c r="J29" s="5">
        <f t="shared" si="1"/>
        <v>0.000244140625</v>
      </c>
      <c r="K29" s="5">
        <f t="shared" si="0"/>
        <v>0</v>
      </c>
    </row>
    <row r="30" spans="3:11" ht="12.75">
      <c r="C30" t="s">
        <v>17</v>
      </c>
      <c r="H30" s="63" t="str">
        <f>MID(F$11,6,1)</f>
        <v>0</v>
      </c>
      <c r="I30">
        <f t="shared" si="2"/>
        <v>0.0001220703125</v>
      </c>
      <c r="J30" s="5">
        <f t="shared" si="1"/>
        <v>0</v>
      </c>
      <c r="K30" s="5">
        <f t="shared" si="0"/>
        <v>0.0001220703125</v>
      </c>
    </row>
    <row r="31" spans="8:11" ht="13.5" thickBot="1">
      <c r="H31" s="63" t="str">
        <f>MID(F$11,7,1)</f>
        <v>1</v>
      </c>
      <c r="I31">
        <f t="shared" si="2"/>
        <v>6.103515625E-05</v>
      </c>
      <c r="J31" s="5">
        <f t="shared" si="1"/>
        <v>6.103515625E-05</v>
      </c>
      <c r="K31" s="6">
        <f t="shared" si="0"/>
        <v>6.103515625E-05</v>
      </c>
    </row>
    <row r="32" spans="3:11" ht="13.5" thickBot="1">
      <c r="C32" s="23" t="s">
        <v>15</v>
      </c>
      <c r="D32" s="60">
        <f>D17*D28*2^D21</f>
        <v>245.4835205078125</v>
      </c>
      <c r="H32" s="64" t="str">
        <f>MID(F$11,8,1)</f>
        <v>1</v>
      </c>
      <c r="I32">
        <f t="shared" si="2"/>
        <v>3.0517578125E-05</v>
      </c>
      <c r="J32" s="6">
        <f t="shared" si="1"/>
        <v>3.0517578125E-05</v>
      </c>
      <c r="K32" s="14">
        <f t="shared" si="0"/>
        <v>3.0517578125E-05</v>
      </c>
    </row>
    <row r="33" spans="3:11" ht="12.75">
      <c r="C33" s="91" t="s">
        <v>63</v>
      </c>
      <c r="D33" s="92">
        <f>D32</f>
        <v>245.4835205078125</v>
      </c>
      <c r="H33" s="62" t="str">
        <f>MID(G$11,1,1)</f>
        <v>1</v>
      </c>
      <c r="I33">
        <f t="shared" si="2"/>
        <v>1.52587890625E-05</v>
      </c>
      <c r="J33" s="14">
        <f t="shared" si="1"/>
        <v>1.52587890625E-05</v>
      </c>
      <c r="K33" s="5">
        <f t="shared" si="0"/>
        <v>1.52587890625E-05</v>
      </c>
    </row>
    <row r="34" spans="2:11" ht="12.75">
      <c r="B34" t="s">
        <v>56</v>
      </c>
      <c r="H34" s="63" t="str">
        <f>MID(G$11,2,1)</f>
        <v>1</v>
      </c>
      <c r="I34">
        <f t="shared" si="2"/>
        <v>7.62939453125E-06</v>
      </c>
      <c r="J34" s="5">
        <f t="shared" si="1"/>
        <v>7.62939453125E-06</v>
      </c>
      <c r="K34" s="5">
        <f t="shared" si="0"/>
        <v>0</v>
      </c>
    </row>
    <row r="35" spans="8:11" ht="12.75">
      <c r="H35" s="63" t="str">
        <f>MID(G$11,3,1)</f>
        <v>0</v>
      </c>
      <c r="I35">
        <f t="shared" si="2"/>
        <v>3.814697265625E-06</v>
      </c>
      <c r="J35" s="5">
        <f t="shared" si="1"/>
        <v>0</v>
      </c>
      <c r="K35" s="5">
        <f t="shared" si="0"/>
        <v>0</v>
      </c>
    </row>
    <row r="36" spans="8:11" ht="12.75">
      <c r="H36" s="63" t="str">
        <f>MID(G$11,4,1)</f>
        <v>0</v>
      </c>
      <c r="I36">
        <f t="shared" si="2"/>
        <v>1.9073486328125E-06</v>
      </c>
      <c r="J36" s="5">
        <f t="shared" si="1"/>
        <v>0</v>
      </c>
      <c r="K36" s="5">
        <f t="shared" si="0"/>
        <v>1.9073486328125E-06</v>
      </c>
    </row>
    <row r="37" spans="8:11" ht="12.75">
      <c r="H37" s="63" t="str">
        <f>MID(G$11,5,1)</f>
        <v>1</v>
      </c>
      <c r="I37">
        <f t="shared" si="2"/>
        <v>9.5367431640625E-07</v>
      </c>
      <c r="J37" s="5">
        <f t="shared" si="1"/>
        <v>9.5367431640625E-07</v>
      </c>
      <c r="K37" s="5">
        <f t="shared" si="0"/>
        <v>0</v>
      </c>
    </row>
    <row r="38" spans="8:11" ht="12.75">
      <c r="H38" s="63" t="str">
        <f>MID(G$11,6,1)</f>
        <v>0</v>
      </c>
      <c r="I38">
        <f t="shared" si="2"/>
        <v>4.76837158203125E-07</v>
      </c>
      <c r="J38" s="5">
        <f t="shared" si="1"/>
        <v>0</v>
      </c>
      <c r="K38" s="5">
        <f t="shared" si="0"/>
        <v>0</v>
      </c>
    </row>
    <row r="39" spans="8:11" ht="12.75">
      <c r="H39" s="63" t="str">
        <f>MID(G$11,7,1)</f>
        <v>0</v>
      </c>
      <c r="I39">
        <f t="shared" si="2"/>
        <v>2.384185791015625E-07</v>
      </c>
      <c r="J39" s="5">
        <f t="shared" si="1"/>
        <v>0</v>
      </c>
      <c r="K39" s="6">
        <f t="shared" si="0"/>
        <v>0</v>
      </c>
    </row>
    <row r="40" spans="2:10" ht="13.5" thickBot="1">
      <c r="B40" s="83" t="s">
        <v>57</v>
      </c>
      <c r="H40" s="64" t="str">
        <f>MID(G$11,8,1)</f>
        <v>0</v>
      </c>
      <c r="I40">
        <f t="shared" si="2"/>
        <v>1.1920928955078125E-07</v>
      </c>
      <c r="J40" s="5">
        <f t="shared" si="1"/>
        <v>0</v>
      </c>
    </row>
    <row r="41" spans="2:11" ht="13.5" thickBot="1">
      <c r="B41" s="84" t="s">
        <v>62</v>
      </c>
      <c r="I41" s="2" t="s">
        <v>13</v>
      </c>
      <c r="J41" s="74">
        <f>SUM(J17:J40)</f>
        <v>1.9178400039672852</v>
      </c>
      <c r="K41" s="75">
        <f>SUM(K17:K39)</f>
        <v>1.8356800079345703</v>
      </c>
    </row>
    <row r="43" ht="13.5" thickBot="1">
      <c r="L43" s="61"/>
    </row>
    <row r="44" spans="9:12" ht="13.5" thickBot="1">
      <c r="I44" s="2" t="s">
        <v>13</v>
      </c>
      <c r="J44" s="74">
        <f>IF(D20=0,K41,J41)</f>
        <v>1.9178400039672852</v>
      </c>
      <c r="K44" s="76" t="s">
        <v>49</v>
      </c>
      <c r="L44" s="11"/>
    </row>
    <row r="45" ht="12.75">
      <c r="H45" s="59"/>
    </row>
  </sheetData>
  <sheetProtection/>
  <hyperlinks>
    <hyperlink ref="B40" r:id="rId1" display="www.simplymodbus.ca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H75"/>
  <sheetViews>
    <sheetView showGridLines="0" zoomScalePageLayoutView="0" workbookViewId="0" topLeftCell="A1">
      <selection activeCell="D5" sqref="D5"/>
    </sheetView>
  </sheetViews>
  <sheetFormatPr defaultColWidth="12.7109375" defaultRowHeight="12.75"/>
  <cols>
    <col min="1" max="1" width="3.00390625" style="0" customWidth="1"/>
    <col min="2" max="3" width="14.28125" style="0" customWidth="1"/>
    <col min="4" max="4" width="19.00390625" style="0" customWidth="1"/>
    <col min="5" max="8" width="14.28125" style="0" customWidth="1"/>
  </cols>
  <sheetData>
    <row r="2" ht="12.75">
      <c r="B2" t="s">
        <v>22</v>
      </c>
    </row>
    <row r="4" ht="13.5" thickBot="1"/>
    <row r="5" spans="3:8" ht="13.5" thickBot="1">
      <c r="C5" s="23" t="s">
        <v>15</v>
      </c>
      <c r="D5" s="60">
        <f>PI()</f>
        <v>3.141592653589793</v>
      </c>
      <c r="E5" s="17" t="s">
        <v>39</v>
      </c>
      <c r="F5" s="41"/>
      <c r="H5" t="s">
        <v>56</v>
      </c>
    </row>
    <row r="7" ht="12.75">
      <c r="C7" t="s">
        <v>17</v>
      </c>
    </row>
    <row r="8" ht="13.5" thickBot="1"/>
    <row r="9" spans="4:5" ht="13.5" thickBot="1">
      <c r="D9" s="10">
        <f>IF(D5&lt;0,-1,1)</f>
        <v>1</v>
      </c>
      <c r="E9" s="11" t="s">
        <v>9</v>
      </c>
    </row>
    <row r="10" spans="3:4" ht="12.75">
      <c r="C10" s="29" t="s">
        <v>32</v>
      </c>
      <c r="D10" s="33">
        <f>IF(D9=1,0,1)</f>
        <v>0</v>
      </c>
    </row>
    <row r="11" ht="13.5" thickBot="1">
      <c r="H11" s="83" t="s">
        <v>57</v>
      </c>
    </row>
    <row r="12" spans="4:8" ht="13.5" thickBot="1">
      <c r="D12" s="10">
        <f>IF(ABS(D5)&lt;1.1754943E-38,-127,INT(LOG(ABS(D5))/LOG(2)))</f>
        <v>1</v>
      </c>
      <c r="E12" s="11" t="s">
        <v>10</v>
      </c>
      <c r="H12" s="84" t="s">
        <v>62</v>
      </c>
    </row>
    <row r="13" spans="3:4" ht="12.75">
      <c r="C13" s="2" t="s">
        <v>33</v>
      </c>
      <c r="D13" s="1">
        <f>D12+127</f>
        <v>128</v>
      </c>
    </row>
    <row r="14" spans="3:4" ht="12.75">
      <c r="C14" s="29" t="s">
        <v>8</v>
      </c>
      <c r="D14" s="33" t="str">
        <f>RIGHT("00000000"&amp;DEC2BIN(D13),8)</f>
        <v>10000000</v>
      </c>
    </row>
    <row r="15" ht="13.5" thickBot="1"/>
    <row r="16" spans="4:6" ht="13.5" thickBot="1">
      <c r="D16" s="79">
        <f>D5/2^D12/D9</f>
        <v>1.5707963267948966</v>
      </c>
      <c r="E16" s="76" t="s">
        <v>49</v>
      </c>
      <c r="F16" s="11"/>
    </row>
    <row r="17" ht="12.75">
      <c r="F17" s="65" t="s">
        <v>50</v>
      </c>
    </row>
    <row r="18" spans="3:7" ht="12.75">
      <c r="C18" s="2" t="s">
        <v>34</v>
      </c>
      <c r="D18" s="71">
        <f>D16-1</f>
        <v>0.5707963267948966</v>
      </c>
      <c r="F18" s="80">
        <f>D16</f>
        <v>1.5707963267948966</v>
      </c>
      <c r="G18" t="s">
        <v>51</v>
      </c>
    </row>
    <row r="19" spans="3:7" ht="12.75">
      <c r="C19" s="24" t="s">
        <v>18</v>
      </c>
      <c r="D19" s="8">
        <f>HEX2DEC(800000)</f>
        <v>8388608</v>
      </c>
      <c r="F19" s="8">
        <f>HEX2DEC(400000)</f>
        <v>4194304</v>
      </c>
      <c r="G19" s="72" t="s">
        <v>44</v>
      </c>
    </row>
    <row r="20" spans="3:7" ht="12.75">
      <c r="C20" s="2" t="s">
        <v>40</v>
      </c>
      <c r="D20" s="77">
        <f>ROUND(D18*D19,0)</f>
        <v>4788187</v>
      </c>
      <c r="E20" s="77"/>
      <c r="F20" s="77">
        <f>ROUND(F18*F19,0)</f>
        <v>6588397</v>
      </c>
      <c r="G20" s="65" t="s">
        <v>40</v>
      </c>
    </row>
    <row r="21" ht="12.75" hidden="1">
      <c r="F21" s="31">
        <f>G34&amp;H35&amp;I35</f>
      </c>
    </row>
    <row r="22" ht="12.75" hidden="1">
      <c r="C22" s="2"/>
    </row>
    <row r="23" ht="12.75" hidden="1">
      <c r="D23" s="78">
        <f>IF(D13=0,F20,D20)</f>
        <v>4788187</v>
      </c>
    </row>
    <row r="24" spans="3:4" ht="12.75" hidden="1">
      <c r="C24" s="1" t="s">
        <v>41</v>
      </c>
      <c r="D24" s="1">
        <f>D23/256</f>
        <v>18703.85546875</v>
      </c>
    </row>
    <row r="25" spans="3:4" ht="12.75" hidden="1">
      <c r="C25" s="1" t="s">
        <v>43</v>
      </c>
      <c r="D25" s="1">
        <f>INT(D24)</f>
        <v>18703</v>
      </c>
    </row>
    <row r="26" spans="3:4" ht="12.75" hidden="1">
      <c r="C26" s="1" t="s">
        <v>42</v>
      </c>
      <c r="D26" s="78">
        <f>(D24-D25)*256</f>
        <v>219</v>
      </c>
    </row>
    <row r="27" spans="3:6" ht="12.75" hidden="1">
      <c r="C27" s="1"/>
      <c r="D27" s="1"/>
      <c r="E27" s="1"/>
      <c r="F27" s="1"/>
    </row>
    <row r="28" spans="3:5" ht="12.75" hidden="1">
      <c r="C28" s="1" t="s">
        <v>41</v>
      </c>
      <c r="D28" s="1">
        <f>D25/256</f>
        <v>73.05859375</v>
      </c>
      <c r="E28" s="1"/>
    </row>
    <row r="29" spans="3:5" ht="12.75" hidden="1">
      <c r="C29" s="1" t="s">
        <v>43</v>
      </c>
      <c r="D29" s="1">
        <f>INT(D28)</f>
        <v>73</v>
      </c>
      <c r="E29" s="1"/>
    </row>
    <row r="30" spans="3:4" ht="12.75" hidden="1">
      <c r="C30" s="1" t="s">
        <v>42</v>
      </c>
      <c r="D30" s="78">
        <f>(D28-D29)*256</f>
        <v>15</v>
      </c>
    </row>
    <row r="31" spans="3:5" ht="12.75" hidden="1">
      <c r="C31" s="1"/>
      <c r="E31" s="1"/>
    </row>
    <row r="32" spans="3:5" ht="12.75">
      <c r="C32" s="29" t="s">
        <v>12</v>
      </c>
      <c r="E32" s="32" t="str">
        <f>E34&amp;F35&amp;G35</f>
        <v>10010010000111111011011</v>
      </c>
    </row>
    <row r="33" ht="12.75">
      <c r="E33" s="1"/>
    </row>
    <row r="34" spans="3:7" ht="12.75">
      <c r="C34" s="2"/>
      <c r="D34" s="1"/>
      <c r="E34" s="89" t="str">
        <f>RIGHT("0000000"&amp;DEC2BIN(D29),7)</f>
        <v>1001001</v>
      </c>
      <c r="F34" s="1"/>
      <c r="G34" s="1"/>
    </row>
    <row r="35" spans="2:7" ht="13.5" thickBot="1">
      <c r="B35" s="49" t="s">
        <v>2</v>
      </c>
      <c r="C35" s="50" t="s">
        <v>3</v>
      </c>
      <c r="D35" s="50" t="str">
        <f>D10&amp;LEFT(D14,7)</f>
        <v>01000000</v>
      </c>
      <c r="E35" s="50" t="str">
        <f>RIGHT(D14,1)&amp;E34</f>
        <v>01001001</v>
      </c>
      <c r="F35" s="50" t="str">
        <f>RIGHT("00000000"&amp;DEC2BIN(D30),8)</f>
        <v>00001111</v>
      </c>
      <c r="G35" s="90" t="str">
        <f>RIGHT("00000000"&amp;DEC2BIN(D26),8)</f>
        <v>11011011</v>
      </c>
    </row>
    <row r="36" spans="2:7" ht="13.5" thickBot="1">
      <c r="B36" s="27" t="s">
        <v>6</v>
      </c>
      <c r="C36" s="46" t="s">
        <v>4</v>
      </c>
      <c r="D36" s="43" t="str">
        <f>RIGHT("00"&amp;BIN2HEX(D35),2)</f>
        <v>40</v>
      </c>
      <c r="E36" s="44" t="str">
        <f>RIGHT("00"&amp;BIN2HEX(E35),2)</f>
        <v>49</v>
      </c>
      <c r="F36" s="44" t="str">
        <f>RIGHT("00"&amp;BIN2HEX(F35),2)</f>
        <v>0F</v>
      </c>
      <c r="G36" s="45" t="str">
        <f>RIGHT("00"&amp;BIN2HEX(G35),2)</f>
        <v>DB</v>
      </c>
    </row>
    <row r="37" spans="2:7" ht="12.75">
      <c r="B37" s="34"/>
      <c r="C37" s="3" t="s">
        <v>5</v>
      </c>
      <c r="D37" s="37">
        <f>HEX2DEC(D36)</f>
        <v>64</v>
      </c>
      <c r="E37" s="37">
        <f>HEX2DEC(E36)</f>
        <v>73</v>
      </c>
      <c r="F37" s="37">
        <f>HEX2DEC(F36)</f>
        <v>15</v>
      </c>
      <c r="G37" s="52">
        <f>HEX2DEC(G36)</f>
        <v>219</v>
      </c>
    </row>
    <row r="38" spans="2:7" ht="12.75">
      <c r="B38" s="34"/>
      <c r="C38" s="12"/>
      <c r="D38" s="36" t="s">
        <v>38</v>
      </c>
      <c r="E38" s="36" t="s">
        <v>37</v>
      </c>
      <c r="F38" s="36" t="s">
        <v>36</v>
      </c>
      <c r="G38" s="51" t="s">
        <v>35</v>
      </c>
    </row>
    <row r="39" spans="2:7" ht="13.5" thickBot="1">
      <c r="B39" s="47"/>
      <c r="C39" s="8"/>
      <c r="D39" s="3" t="s">
        <v>23</v>
      </c>
      <c r="E39" s="8"/>
      <c r="F39" s="35"/>
      <c r="G39" s="48" t="s">
        <v>24</v>
      </c>
    </row>
    <row r="40" spans="2:7" ht="13.5" thickBot="1">
      <c r="B40" s="27" t="s">
        <v>31</v>
      </c>
      <c r="C40" s="46" t="s">
        <v>4</v>
      </c>
      <c r="D40" s="58" t="str">
        <f>D36&amp;E36</f>
        <v>4049</v>
      </c>
      <c r="E40" s="53"/>
      <c r="F40" s="58" t="str">
        <f>F36&amp;G36</f>
        <v>0FDB</v>
      </c>
      <c r="G40" s="54"/>
    </row>
    <row r="41" spans="2:7" ht="12.75">
      <c r="B41" s="34"/>
      <c r="C41" s="3" t="s">
        <v>5</v>
      </c>
      <c r="D41" s="37">
        <f>HEX2DEC(D40)</f>
        <v>16457</v>
      </c>
      <c r="E41" s="38"/>
      <c r="F41" s="37">
        <f>HEX2DEC(F40)</f>
        <v>4059</v>
      </c>
      <c r="G41" s="55"/>
    </row>
    <row r="42" spans="2:7" ht="12.75">
      <c r="B42" s="47"/>
      <c r="C42" s="56"/>
      <c r="D42" s="39" t="s">
        <v>19</v>
      </c>
      <c r="E42" s="39"/>
      <c r="F42" s="39" t="s">
        <v>20</v>
      </c>
      <c r="G42" s="57"/>
    </row>
    <row r="44" spans="4:7" ht="12.75">
      <c r="D44" s="1" t="s">
        <v>1</v>
      </c>
      <c r="G44" s="1" t="s">
        <v>0</v>
      </c>
    </row>
    <row r="45" ht="12.75">
      <c r="C45" s="2"/>
    </row>
    <row r="47" spans="5:6" ht="12.75">
      <c r="E47" s="2" t="s">
        <v>58</v>
      </c>
      <c r="F47" s="30" t="s">
        <v>12</v>
      </c>
    </row>
    <row r="48" ht="12.75">
      <c r="G48" s="65" t="s">
        <v>59</v>
      </c>
    </row>
    <row r="49" ht="12.75">
      <c r="G49" s="82" t="s">
        <v>52</v>
      </c>
    </row>
    <row r="50" spans="4:7" ht="12.75">
      <c r="D50" s="56" t="s">
        <v>55</v>
      </c>
      <c r="E50" s="85">
        <f>D16</f>
        <v>1.5707963267948966</v>
      </c>
      <c r="F50" t="s">
        <v>60</v>
      </c>
      <c r="G50" s="71">
        <f>D16</f>
        <v>1.5707963267948966</v>
      </c>
    </row>
    <row r="51" spans="4:8" ht="12.75">
      <c r="D51">
        <v>1</v>
      </c>
      <c r="E51" s="71">
        <f>E50-D51</f>
        <v>0.5707963267948966</v>
      </c>
      <c r="G51">
        <f>IF((G50-$D51)&gt;0,G50-$D51,G50)</f>
        <v>0.5707963267948966</v>
      </c>
      <c r="H51" s="81" t="str">
        <f>IF((G50-$D51)&gt;0,"1","0")</f>
        <v>1</v>
      </c>
    </row>
    <row r="52" spans="4:8" ht="12.75">
      <c r="D52">
        <v>0.5</v>
      </c>
      <c r="E52">
        <f>IF((E51-$D52)&gt;0,E51-$D52,E51)</f>
        <v>0.07079632679489656</v>
      </c>
      <c r="F52" s="81" t="str">
        <f>IF((E51-$D52)&gt;0,"1","0")</f>
        <v>1</v>
      </c>
      <c r="G52">
        <f>IF((G51-$D52)&gt;0,G51-$D52,G51)</f>
        <v>0.07079632679489656</v>
      </c>
      <c r="H52" s="81" t="str">
        <f>IF((G51-$D52)&gt;0,"1","0")</f>
        <v>1</v>
      </c>
    </row>
    <row r="53" spans="4:8" ht="12.75">
      <c r="D53">
        <f>D52/2</f>
        <v>0.25</v>
      </c>
      <c r="E53">
        <f aca="true" t="shared" si="0" ref="E53:E75">IF((E52-$D53)&gt;0,E52-$D53,E52)</f>
        <v>0.07079632679489656</v>
      </c>
      <c r="F53" s="81" t="str">
        <f aca="true" t="shared" si="1" ref="F53:H73">IF((E52-$D53)&gt;0,"1","0")</f>
        <v>0</v>
      </c>
      <c r="G53">
        <f aca="true" t="shared" si="2" ref="G53:G73">IF((G52-$D53)&gt;0,G52-$D53,G52)</f>
        <v>0.07079632679489656</v>
      </c>
      <c r="H53" s="81" t="str">
        <f t="shared" si="1"/>
        <v>0</v>
      </c>
    </row>
    <row r="54" spans="4:8" ht="12.75">
      <c r="D54">
        <f aca="true" t="shared" si="3" ref="D54:D75">D53/2</f>
        <v>0.125</v>
      </c>
      <c r="E54">
        <f t="shared" si="0"/>
        <v>0.07079632679489656</v>
      </c>
      <c r="F54" s="81" t="str">
        <f t="shared" si="1"/>
        <v>0</v>
      </c>
      <c r="G54">
        <f t="shared" si="2"/>
        <v>0.07079632679489656</v>
      </c>
      <c r="H54" s="81" t="str">
        <f t="shared" si="1"/>
        <v>0</v>
      </c>
    </row>
    <row r="55" spans="4:8" ht="12.75">
      <c r="D55">
        <f t="shared" si="3"/>
        <v>0.0625</v>
      </c>
      <c r="E55">
        <f t="shared" si="0"/>
        <v>0.008296326794896558</v>
      </c>
      <c r="F55" s="81" t="str">
        <f t="shared" si="1"/>
        <v>1</v>
      </c>
      <c r="G55">
        <f t="shared" si="2"/>
        <v>0.008296326794896558</v>
      </c>
      <c r="H55" s="81" t="str">
        <f t="shared" si="1"/>
        <v>1</v>
      </c>
    </row>
    <row r="56" spans="4:8" ht="12.75">
      <c r="D56">
        <f t="shared" si="3"/>
        <v>0.03125</v>
      </c>
      <c r="E56">
        <f t="shared" si="0"/>
        <v>0.008296326794896558</v>
      </c>
      <c r="F56" s="81" t="str">
        <f t="shared" si="1"/>
        <v>0</v>
      </c>
      <c r="G56">
        <f t="shared" si="2"/>
        <v>0.008296326794896558</v>
      </c>
      <c r="H56" s="81" t="str">
        <f t="shared" si="1"/>
        <v>0</v>
      </c>
    </row>
    <row r="57" spans="4:8" ht="12.75">
      <c r="D57">
        <f t="shared" si="3"/>
        <v>0.015625</v>
      </c>
      <c r="E57">
        <f t="shared" si="0"/>
        <v>0.008296326794896558</v>
      </c>
      <c r="F57" s="81" t="str">
        <f t="shared" si="1"/>
        <v>0</v>
      </c>
      <c r="G57">
        <f t="shared" si="2"/>
        <v>0.008296326794896558</v>
      </c>
      <c r="H57" s="81" t="str">
        <f t="shared" si="1"/>
        <v>0</v>
      </c>
    </row>
    <row r="58" spans="4:8" ht="12.75">
      <c r="D58">
        <f t="shared" si="3"/>
        <v>0.0078125</v>
      </c>
      <c r="E58">
        <f t="shared" si="0"/>
        <v>0.000483826794896558</v>
      </c>
      <c r="F58" s="81" t="str">
        <f t="shared" si="1"/>
        <v>1</v>
      </c>
      <c r="G58">
        <f t="shared" si="2"/>
        <v>0.000483826794896558</v>
      </c>
      <c r="H58" s="81" t="str">
        <f t="shared" si="1"/>
        <v>1</v>
      </c>
    </row>
    <row r="59" spans="4:8" ht="12.75">
      <c r="D59">
        <f t="shared" si="3"/>
        <v>0.00390625</v>
      </c>
      <c r="E59">
        <f t="shared" si="0"/>
        <v>0.000483826794896558</v>
      </c>
      <c r="F59" s="81" t="str">
        <f t="shared" si="1"/>
        <v>0</v>
      </c>
      <c r="G59">
        <f t="shared" si="2"/>
        <v>0.000483826794896558</v>
      </c>
      <c r="H59" s="81" t="str">
        <f t="shared" si="1"/>
        <v>0</v>
      </c>
    </row>
    <row r="60" spans="4:8" ht="12.75">
      <c r="D60">
        <f t="shared" si="3"/>
        <v>0.001953125</v>
      </c>
      <c r="E60">
        <f t="shared" si="0"/>
        <v>0.000483826794896558</v>
      </c>
      <c r="F60" s="81" t="str">
        <f t="shared" si="1"/>
        <v>0</v>
      </c>
      <c r="G60">
        <f t="shared" si="2"/>
        <v>0.000483826794896558</v>
      </c>
      <c r="H60" s="81" t="str">
        <f t="shared" si="1"/>
        <v>0</v>
      </c>
    </row>
    <row r="61" spans="4:8" ht="12.75">
      <c r="D61">
        <f t="shared" si="3"/>
        <v>0.0009765625</v>
      </c>
      <c r="E61">
        <f t="shared" si="0"/>
        <v>0.000483826794896558</v>
      </c>
      <c r="F61" s="81" t="str">
        <f t="shared" si="1"/>
        <v>0</v>
      </c>
      <c r="G61">
        <f t="shared" si="2"/>
        <v>0.000483826794896558</v>
      </c>
      <c r="H61" s="81" t="str">
        <f t="shared" si="1"/>
        <v>0</v>
      </c>
    </row>
    <row r="62" spans="4:8" ht="12.75">
      <c r="D62">
        <f t="shared" si="3"/>
        <v>0.00048828125</v>
      </c>
      <c r="E62">
        <f t="shared" si="0"/>
        <v>0.000483826794896558</v>
      </c>
      <c r="F62" s="81" t="str">
        <f t="shared" si="1"/>
        <v>0</v>
      </c>
      <c r="G62">
        <f t="shared" si="2"/>
        <v>0.000483826794896558</v>
      </c>
      <c r="H62" s="81" t="str">
        <f t="shared" si="1"/>
        <v>0</v>
      </c>
    </row>
    <row r="63" spans="4:8" ht="12.75">
      <c r="D63">
        <f t="shared" si="3"/>
        <v>0.000244140625</v>
      </c>
      <c r="E63">
        <f t="shared" si="0"/>
        <v>0.000239686169896558</v>
      </c>
      <c r="F63" s="81" t="str">
        <f t="shared" si="1"/>
        <v>1</v>
      </c>
      <c r="G63">
        <f t="shared" si="2"/>
        <v>0.000239686169896558</v>
      </c>
      <c r="H63" s="81" t="str">
        <f t="shared" si="1"/>
        <v>1</v>
      </c>
    </row>
    <row r="64" spans="4:8" ht="12.75">
      <c r="D64">
        <f t="shared" si="3"/>
        <v>0.0001220703125</v>
      </c>
      <c r="E64">
        <f t="shared" si="0"/>
        <v>0.000117615857396558</v>
      </c>
      <c r="F64" s="81" t="str">
        <f t="shared" si="1"/>
        <v>1</v>
      </c>
      <c r="G64">
        <f t="shared" si="2"/>
        <v>0.000117615857396558</v>
      </c>
      <c r="H64" s="81" t="str">
        <f t="shared" si="1"/>
        <v>1</v>
      </c>
    </row>
    <row r="65" spans="4:8" ht="12.75">
      <c r="D65">
        <f t="shared" si="3"/>
        <v>6.103515625E-05</v>
      </c>
      <c r="E65">
        <f t="shared" si="0"/>
        <v>5.6580701146558E-05</v>
      </c>
      <c r="F65" s="81" t="str">
        <f t="shared" si="1"/>
        <v>1</v>
      </c>
      <c r="G65">
        <f t="shared" si="2"/>
        <v>5.6580701146558E-05</v>
      </c>
      <c r="H65" s="81" t="str">
        <f t="shared" si="1"/>
        <v>1</v>
      </c>
    </row>
    <row r="66" spans="4:8" ht="12.75">
      <c r="D66">
        <f t="shared" si="3"/>
        <v>3.0517578125E-05</v>
      </c>
      <c r="E66">
        <f t="shared" si="0"/>
        <v>2.6063123021558E-05</v>
      </c>
      <c r="F66" s="81" t="str">
        <f t="shared" si="1"/>
        <v>1</v>
      </c>
      <c r="G66">
        <f t="shared" si="2"/>
        <v>2.6063123021558E-05</v>
      </c>
      <c r="H66" s="81" t="str">
        <f t="shared" si="1"/>
        <v>1</v>
      </c>
    </row>
    <row r="67" spans="4:8" ht="12.75">
      <c r="D67">
        <f t="shared" si="3"/>
        <v>1.52587890625E-05</v>
      </c>
      <c r="E67">
        <f t="shared" si="0"/>
        <v>1.0804333959057999E-05</v>
      </c>
      <c r="F67" s="81" t="str">
        <f t="shared" si="1"/>
        <v>1</v>
      </c>
      <c r="G67">
        <f t="shared" si="2"/>
        <v>1.0804333959057999E-05</v>
      </c>
      <c r="H67" s="81" t="str">
        <f t="shared" si="1"/>
        <v>1</v>
      </c>
    </row>
    <row r="68" spans="4:8" ht="12.75">
      <c r="D68">
        <f t="shared" si="3"/>
        <v>7.62939453125E-06</v>
      </c>
      <c r="E68">
        <f t="shared" si="0"/>
        <v>3.174939427807999E-06</v>
      </c>
      <c r="F68" s="81" t="str">
        <f t="shared" si="1"/>
        <v>1</v>
      </c>
      <c r="G68">
        <f t="shared" si="2"/>
        <v>3.174939427807999E-06</v>
      </c>
      <c r="H68" s="81" t="str">
        <f t="shared" si="1"/>
        <v>1</v>
      </c>
    </row>
    <row r="69" spans="4:8" ht="12.75">
      <c r="D69">
        <f t="shared" si="3"/>
        <v>3.814697265625E-06</v>
      </c>
      <c r="E69">
        <f t="shared" si="0"/>
        <v>3.174939427807999E-06</v>
      </c>
      <c r="F69" s="81" t="str">
        <f t="shared" si="1"/>
        <v>0</v>
      </c>
      <c r="G69">
        <f t="shared" si="2"/>
        <v>3.174939427807999E-06</v>
      </c>
      <c r="H69" s="81" t="str">
        <f t="shared" si="1"/>
        <v>0</v>
      </c>
    </row>
    <row r="70" spans="4:8" ht="12.75">
      <c r="D70">
        <f t="shared" si="3"/>
        <v>1.9073486328125E-06</v>
      </c>
      <c r="E70">
        <f t="shared" si="0"/>
        <v>1.267590794995499E-06</v>
      </c>
      <c r="F70" s="81" t="str">
        <f t="shared" si="1"/>
        <v>1</v>
      </c>
      <c r="G70">
        <f t="shared" si="2"/>
        <v>1.267590794995499E-06</v>
      </c>
      <c r="H70" s="81" t="str">
        <f t="shared" si="1"/>
        <v>1</v>
      </c>
    </row>
    <row r="71" spans="4:8" ht="12.75">
      <c r="D71">
        <f t="shared" si="3"/>
        <v>9.5367431640625E-07</v>
      </c>
      <c r="E71">
        <f t="shared" si="0"/>
        <v>3.13916478589249E-07</v>
      </c>
      <c r="F71" s="81" t="str">
        <f t="shared" si="1"/>
        <v>1</v>
      </c>
      <c r="G71">
        <f t="shared" si="2"/>
        <v>3.13916478589249E-07</v>
      </c>
      <c r="H71" s="81" t="str">
        <f t="shared" si="1"/>
        <v>1</v>
      </c>
    </row>
    <row r="72" spans="4:8" ht="12.75">
      <c r="D72">
        <f t="shared" si="3"/>
        <v>4.76837158203125E-07</v>
      </c>
      <c r="E72">
        <f t="shared" si="0"/>
        <v>3.13916478589249E-07</v>
      </c>
      <c r="F72" s="81" t="str">
        <f t="shared" si="1"/>
        <v>0</v>
      </c>
      <c r="G72">
        <f t="shared" si="2"/>
        <v>3.13916478589249E-07</v>
      </c>
      <c r="H72" s="81" t="str">
        <f t="shared" si="1"/>
        <v>0</v>
      </c>
    </row>
    <row r="73" spans="4:8" ht="12.75">
      <c r="D73">
        <f t="shared" si="3"/>
        <v>2.384185791015625E-07</v>
      </c>
      <c r="E73">
        <f t="shared" si="0"/>
        <v>7.549789948768648E-08</v>
      </c>
      <c r="F73" s="81" t="str">
        <f t="shared" si="1"/>
        <v>1</v>
      </c>
      <c r="G73">
        <f t="shared" si="2"/>
        <v>7.549789948768648E-08</v>
      </c>
      <c r="H73" s="86" t="str">
        <f t="shared" si="1"/>
        <v>1</v>
      </c>
    </row>
    <row r="74" spans="4:8" ht="12.75">
      <c r="D74" s="8">
        <f t="shared" si="3"/>
        <v>1.1920928955078125E-07</v>
      </c>
      <c r="E74" s="8">
        <f t="shared" si="0"/>
        <v>7.549789948768648E-08</v>
      </c>
      <c r="F74" s="86" t="str">
        <f>IF((E73-$D74)&gt;0,"1","0")</f>
        <v>0</v>
      </c>
      <c r="H74" s="87" t="str">
        <f>IF((G73-$D74)&gt;0,"1","0")</f>
        <v>0</v>
      </c>
    </row>
    <row r="75" spans="4:7" ht="12.75">
      <c r="D75" s="88">
        <f t="shared" si="3"/>
        <v>5.960464477539063E-08</v>
      </c>
      <c r="E75" s="88">
        <f t="shared" si="0"/>
        <v>1.5893254712295857E-08</v>
      </c>
      <c r="F75" s="87" t="str">
        <f>IF((E74-$D75)&gt;0,"1","0")</f>
        <v>1</v>
      </c>
      <c r="G75" t="s">
        <v>61</v>
      </c>
    </row>
  </sheetData>
  <sheetProtection/>
  <hyperlinks>
    <hyperlink ref="H11" r:id="rId1" display="www.simplymodbus.ca"/>
  </hyperlinks>
  <printOptions/>
  <pageMargins left="0.75" right="0.75" top="1" bottom="1" header="0.5" footer="0.5"/>
  <pageSetup horizontalDpi="600" verticalDpi="600"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Barton Instrument 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Corraini, Gerry</dc:creator>
  <cp:keywords/>
  <dc:description/>
  <cp:lastModifiedBy>Nairn7740</cp:lastModifiedBy>
  <dcterms:created xsi:type="dcterms:W3CDTF">2002-12-11T22:45:43Z</dcterms:created>
  <dcterms:modified xsi:type="dcterms:W3CDTF">2017-04-18T11:33:30Z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