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015" windowHeight="6330" activeTab="0"/>
  </bookViews>
  <sheets>
    <sheet name="DATA" sheetId="1" r:id="rId1"/>
    <sheet name="101&amp;Paper" sheetId="2" r:id="rId2"/>
    <sheet name="47-front" sheetId="3" r:id="rId3"/>
    <sheet name="BILL" sheetId="4" r:id="rId4"/>
    <sheet name="47-back" sheetId="5" r:id="rId5"/>
    <sheet name="ANNEXURE" sheetId="6" r:id="rId6"/>
    <sheet name="PROCEEDINGS" sheetId="7" r:id="rId7"/>
  </sheets>
  <definedNames>
    <definedName name="_xlfn.BAHTTEXT" hidden="1">#NAME?</definedName>
    <definedName name="_xlfn.COUNTIFS" hidden="1">#NAME?</definedName>
    <definedName name="_xlnm.Print_Area" localSheetId="1">'101&amp;Paper'!$A$1:$Q$64</definedName>
    <definedName name="_xlnm.Print_Area" localSheetId="4">'47-back'!$A$1:$O$56</definedName>
    <definedName name="_xlnm.Print_Area" localSheetId="2">'47-front'!$A$1:$AC$68</definedName>
    <definedName name="_xlnm.Print_Area" localSheetId="5">'ANNEXURE'!$A$1:$O$28</definedName>
    <definedName name="_xlnm.Print_Area" localSheetId="3">'BILL'!$A$1:$X$25</definedName>
    <definedName name="_xlnm.Print_Area" localSheetId="0">'DATA'!$A$38:$F$161</definedName>
    <definedName name="_xlnm.Print_Area" localSheetId="6">'PROCEEDINGS'!$A$1:$I$30</definedName>
  </definedNames>
  <calcPr fullCalcOnLoad="1"/>
</workbook>
</file>

<file path=xl/comments1.xml><?xml version="1.0" encoding="utf-8"?>
<comments xmlns="http://schemas.openxmlformats.org/spreadsheetml/2006/main">
  <authors>
    <author>SRINIVAS</author>
  </authors>
  <commentList>
    <comment ref="C5" authorId="0">
      <text>
        <r>
          <rPr>
            <b/>
            <sz val="9"/>
            <color indexed="12"/>
            <rFont val="Tahoma"/>
            <family val="2"/>
          </rPr>
          <t>iteacherz</t>
        </r>
        <r>
          <rPr>
            <sz val="9"/>
            <rFont val="Tahoma"/>
            <family val="2"/>
          </rPr>
          <t>: Enter the serial number of the employee to get applications,proc print out. Later enter another serial number and take prints again. If the applicant has only daughter / son then take print of first APPLICATION only.</t>
        </r>
      </text>
    </comment>
    <comment ref="K29" authorId="0">
      <text>
        <r>
          <rPr>
            <b/>
            <sz val="9"/>
            <color indexed="12"/>
            <rFont val="Tahoma"/>
            <family val="2"/>
          </rPr>
          <t>iteacherz</t>
        </r>
        <r>
          <rPr>
            <sz val="9"/>
            <rFont val="Tahoma"/>
            <family val="2"/>
          </rPr>
          <t xml:space="preserve">: Here you should select previous(completed) academic year or before.
</t>
        </r>
      </text>
    </comment>
  </commentList>
</comments>
</file>

<file path=xl/sharedStrings.xml><?xml version="1.0" encoding="utf-8"?>
<sst xmlns="http://schemas.openxmlformats.org/spreadsheetml/2006/main" count="639" uniqueCount="475">
  <si>
    <t>Sl.No</t>
  </si>
  <si>
    <t>Amount</t>
  </si>
  <si>
    <t>Name and Designation</t>
  </si>
  <si>
    <t>Personal Pay</t>
  </si>
  <si>
    <t>Special Pay</t>
  </si>
  <si>
    <t>H.R.A</t>
  </si>
  <si>
    <t>Town/City D.A</t>
  </si>
  <si>
    <t>H.M.A</t>
  </si>
  <si>
    <t>Grand Total</t>
  </si>
  <si>
    <t>G.P.F.</t>
  </si>
  <si>
    <t>G.P.F.Loan</t>
  </si>
  <si>
    <t>A.P.G,L.I</t>
  </si>
  <si>
    <t>A.P.G.L.I.Loan</t>
  </si>
  <si>
    <t>G.I.S</t>
  </si>
  <si>
    <t>P.Tax</t>
  </si>
  <si>
    <t>House Rent</t>
  </si>
  <si>
    <t>Income Tax</t>
  </si>
  <si>
    <t>Z.P.P.F</t>
  </si>
  <si>
    <t>Z.P.P.F Loan</t>
  </si>
  <si>
    <t>Govt Deductions</t>
  </si>
  <si>
    <t>AG Net</t>
  </si>
  <si>
    <t>Non Govt Deductions</t>
  </si>
  <si>
    <t>Net Salary</t>
  </si>
  <si>
    <t>TOTAL</t>
  </si>
  <si>
    <t>D.D.O. SIGN</t>
  </si>
  <si>
    <t>To be furnished by the DDO in triplicate along with the bill</t>
  </si>
  <si>
    <t>Employee Name</t>
  </si>
  <si>
    <t>Employee Account No.</t>
  </si>
  <si>
    <t>DDO Signature:</t>
  </si>
  <si>
    <t>Signature of TO.</t>
  </si>
  <si>
    <t>(with seal)</t>
  </si>
  <si>
    <t>DDO Signature</t>
  </si>
  <si>
    <t>Pay Bill for the Month &amp; Year</t>
  </si>
  <si>
    <t xml:space="preserve">Treasury / P.A.O Code </t>
  </si>
  <si>
    <t xml:space="preserve">D.D.O.Code </t>
  </si>
  <si>
    <t>DDO Designation</t>
  </si>
  <si>
    <t>BANK CODE</t>
  </si>
  <si>
    <t>Head of Account</t>
  </si>
  <si>
    <t>Deducations</t>
  </si>
  <si>
    <t xml:space="preserve">Major Head </t>
  </si>
  <si>
    <t>G.P.F/AIS/PF</t>
  </si>
  <si>
    <t>Rs.</t>
  </si>
  <si>
    <t>Sub Major</t>
  </si>
  <si>
    <t>APGLI</t>
  </si>
  <si>
    <t xml:space="preserve">Minor Head </t>
  </si>
  <si>
    <t>Group Insurance/AIS</t>
  </si>
  <si>
    <t>Group Sub-Head</t>
  </si>
  <si>
    <t>Professional Tax</t>
  </si>
  <si>
    <t>Sub Head</t>
  </si>
  <si>
    <t>Detail Head</t>
  </si>
  <si>
    <t>Festival Adv.&amp;APCO Adv.</t>
  </si>
  <si>
    <t>Educational Adv.</t>
  </si>
  <si>
    <t>HBA (P)</t>
  </si>
  <si>
    <t>Non-plan=N/Plan=P</t>
  </si>
  <si>
    <t>N</t>
  </si>
  <si>
    <t>Charged=C/Voted=V</t>
  </si>
  <si>
    <t>V</t>
  </si>
  <si>
    <t>HBA (I)</t>
  </si>
  <si>
    <t>Contingency Fund/MH</t>
  </si>
  <si>
    <t>Car Adv.(P)</t>
  </si>
  <si>
    <t>Service Major Head</t>
  </si>
  <si>
    <t>Car Adv.(I)</t>
  </si>
  <si>
    <t>Motor Cycle Adv.(P)</t>
  </si>
  <si>
    <t>Motor Cycle Adv.(I)</t>
  </si>
  <si>
    <t>011 - Pay</t>
  </si>
  <si>
    <t>Marriage Adv.(P)</t>
  </si>
  <si>
    <t>013 - Dearness Allowances</t>
  </si>
  <si>
    <t>Marriage Adv.(I)</t>
  </si>
  <si>
    <t>Class IV GPF- D.T.O</t>
  </si>
  <si>
    <t>EWF Loan</t>
  </si>
  <si>
    <t>ZPPF</t>
  </si>
  <si>
    <t>Total Govt. Deducations</t>
  </si>
  <si>
    <t xml:space="preserve">Gross Total </t>
  </si>
  <si>
    <t>Total Non-Govt.Deducations</t>
  </si>
  <si>
    <t>Less Govt. Deductions</t>
  </si>
  <si>
    <t>A.G.Nett Amount</t>
  </si>
  <si>
    <t>FOR USE IN TREASURY / PAY &amp; ACCOUNTS OFFICE ONLY</t>
  </si>
  <si>
    <t>Treasury Officer / Pay &amp; Accounts Officer</t>
  </si>
  <si>
    <t>This bill amount Rs.</t>
  </si>
  <si>
    <t>Received Cash</t>
  </si>
  <si>
    <t>REQUIRED CERTIFICATES</t>
  </si>
  <si>
    <t>Certified That the amount claimed in this bill has not been already drawn and paid previously.</t>
  </si>
  <si>
    <t>Certified that the necessary fixation entries have been made in the service register of the individual.</t>
  </si>
  <si>
    <t>DRAWING OFFICER</t>
  </si>
  <si>
    <t>For the use Of  Accountant  General  Office</t>
  </si>
  <si>
    <t>1.</t>
  </si>
  <si>
    <t>2.</t>
  </si>
  <si>
    <t>3.</t>
  </si>
  <si>
    <t>4.</t>
  </si>
  <si>
    <t>5.</t>
  </si>
  <si>
    <t>6.</t>
  </si>
  <si>
    <t>012-   Allowances</t>
  </si>
  <si>
    <t>015-   I.R.</t>
  </si>
  <si>
    <t>016-   H.R.A.</t>
  </si>
  <si>
    <t>General Education</t>
  </si>
  <si>
    <t>Secondary Education</t>
  </si>
  <si>
    <t>Assistance to Local Bodies for Secondary Education</t>
  </si>
  <si>
    <t>Teaching Grant to Zilla Praja Parishads</t>
  </si>
  <si>
    <t>Salaries</t>
  </si>
  <si>
    <t xml:space="preserve">A.G.Nett Amount in words </t>
  </si>
  <si>
    <t>ANNEXURE-I</t>
  </si>
  <si>
    <t>BUDGET</t>
  </si>
  <si>
    <t>PAPER TOKEN</t>
  </si>
  <si>
    <t>STO Code:</t>
  </si>
  <si>
    <t>(For Treasury Use Only)</t>
  </si>
  <si>
    <t>STO Name:</t>
  </si>
  <si>
    <t>Date:……………………</t>
  </si>
  <si>
    <t>Trans ID:</t>
  </si>
  <si>
    <t>DDO Designation:</t>
  </si>
  <si>
    <t>Bank Branch Code:</t>
  </si>
  <si>
    <t>Head of Account:</t>
  </si>
  <si>
    <t>(Major Head)</t>
  </si>
  <si>
    <t>(Sub-MH)</t>
  </si>
  <si>
    <t>(Minor Head)</t>
  </si>
  <si>
    <t>(Grp-SH)</t>
  </si>
  <si>
    <t>(Sub-Head)</t>
  </si>
  <si>
    <t>(Det.Head)</t>
  </si>
  <si>
    <t>(Sub Det.Head)</t>
  </si>
  <si>
    <t>Non-Plan=N/</t>
  </si>
  <si>
    <t>Charged=C/</t>
  </si>
  <si>
    <t>Contingency Fund MH/</t>
  </si>
  <si>
    <t>Plan=P:</t>
  </si>
  <si>
    <t>Voted=V</t>
  </si>
  <si>
    <t>(As in APTC form-101)</t>
  </si>
  <si>
    <t>Specimen Signature of Messenger</t>
  </si>
  <si>
    <t>Attested</t>
  </si>
  <si>
    <t>STO Signature</t>
  </si>
  <si>
    <t xml:space="preserve">DDO </t>
  </si>
  <si>
    <t>DDOSignature</t>
  </si>
  <si>
    <t>Treasury</t>
  </si>
  <si>
    <t>Seal</t>
  </si>
  <si>
    <t>D.D.O.</t>
  </si>
  <si>
    <t>Servant receiving the payment</t>
  </si>
  <si>
    <t>Signature of the Govt.</t>
  </si>
  <si>
    <t>Signature of the D.D.O.</t>
  </si>
  <si>
    <t>Received the payment</t>
  </si>
  <si>
    <t>Signature of the Govt. Servant</t>
  </si>
  <si>
    <t>The Treasury Officer/Manager</t>
  </si>
  <si>
    <t>To</t>
  </si>
  <si>
    <t>Treasury / PAO  NAME:</t>
  </si>
  <si>
    <t>Treasury / PAO Code:</t>
  </si>
  <si>
    <t>DDO CODE:</t>
  </si>
  <si>
    <t>Govt.Memo No.38907/Accounts/ 65-5,Dt.21-02-1963)</t>
  </si>
  <si>
    <t>A.P.T.C. FORM-101</t>
  </si>
  <si>
    <t>NET</t>
  </si>
  <si>
    <t>GROSS Rs</t>
  </si>
  <si>
    <t>Deductions Rs</t>
  </si>
  <si>
    <t>Net Rs</t>
  </si>
  <si>
    <t>(See Subsidiary Rule2(w) Under Treasury Rule 15</t>
  </si>
  <si>
    <t>whose specimen signature is attested here with</t>
  </si>
  <si>
    <t>Date:</t>
  </si>
  <si>
    <t>Dt:</t>
  </si>
  <si>
    <t>SUB:</t>
  </si>
  <si>
    <t>REF:</t>
  </si>
  <si>
    <t>ORDER:</t>
  </si>
  <si>
    <t>Copy to:</t>
  </si>
  <si>
    <t>The Concerned Teacher</t>
  </si>
  <si>
    <t>ANNEXURE</t>
  </si>
  <si>
    <t>CERTIFICATE</t>
  </si>
  <si>
    <t>DDO CODE</t>
  </si>
  <si>
    <t>DATE</t>
  </si>
  <si>
    <t>NAME OF THE MESSENGER</t>
  </si>
  <si>
    <t>STO CODE</t>
  </si>
  <si>
    <t>STO NAME</t>
  </si>
  <si>
    <t>DESIGNATION</t>
  </si>
  <si>
    <t>(Employee wise details)</t>
  </si>
  <si>
    <t>ADDANKI</t>
  </si>
  <si>
    <t>0718363</t>
  </si>
  <si>
    <t>Z. P. H. SCHOOL</t>
  </si>
  <si>
    <t>_______________</t>
  </si>
  <si>
    <t>NET SALARY in words</t>
  </si>
  <si>
    <t>(Rupees ____________________________________________</t>
  </si>
  <si>
    <t xml:space="preserve">_____________________________________________ Only) by Cash / Cheque / Draft / </t>
  </si>
  <si>
    <t>Account credit as under and Rs________________________________________________</t>
  </si>
  <si>
    <t>___________________________________________________ only) by adjustment.</t>
  </si>
  <si>
    <t>Amount to be Credited</t>
  </si>
  <si>
    <t>QUALIFICATION</t>
  </si>
  <si>
    <t>EMPLOYEE ID.</t>
  </si>
  <si>
    <t>:</t>
  </si>
  <si>
    <t xml:space="preserve">Employee I.D </t>
  </si>
  <si>
    <t>DDO Code:</t>
  </si>
  <si>
    <t>EMPLOYEE ID</t>
  </si>
  <si>
    <t>SWF Recovery</t>
  </si>
  <si>
    <t xml:space="preserve"> FORTY SEVEN </t>
  </si>
  <si>
    <t xml:space="preserve"> NINETY SEVEN </t>
  </si>
  <si>
    <t xml:space="preserve"> ONLY</t>
  </si>
  <si>
    <t xml:space="preserve"> ONE</t>
  </si>
  <si>
    <t xml:space="preserve"> TWO </t>
  </si>
  <si>
    <t xml:space="preserve"> THREE </t>
  </si>
  <si>
    <t xml:space="preserve"> FOUR </t>
  </si>
  <si>
    <t xml:space="preserve"> FIVE </t>
  </si>
  <si>
    <t xml:space="preserve"> SIX </t>
  </si>
  <si>
    <t xml:space="preserve"> SEVEN </t>
  </si>
  <si>
    <t xml:space="preserve"> EIGHT</t>
  </si>
  <si>
    <t xml:space="preserve"> NINE </t>
  </si>
  <si>
    <t xml:space="preserve"> TEN </t>
  </si>
  <si>
    <t xml:space="preserve"> ELEVEN </t>
  </si>
  <si>
    <t xml:space="preserve"> TWELVE </t>
  </si>
  <si>
    <t xml:space="preserve"> THIRTEEN</t>
  </si>
  <si>
    <t xml:space="preserve"> FOURTEEN </t>
  </si>
  <si>
    <t xml:space="preserve"> FIFTEEN </t>
  </si>
  <si>
    <t xml:space="preserve"> SIXTEEN </t>
  </si>
  <si>
    <t xml:space="preserve"> SEVENTEEN </t>
  </si>
  <si>
    <t xml:space="preserve"> EIGHTEEN </t>
  </si>
  <si>
    <t xml:space="preserve"> NINTEEN </t>
  </si>
  <si>
    <t xml:space="preserve"> TWENTY </t>
  </si>
  <si>
    <t xml:space="preserve"> TWENTY ONE </t>
  </si>
  <si>
    <t xml:space="preserve"> TWENTY TWO </t>
  </si>
  <si>
    <t xml:space="preserve"> TWENTY THREE </t>
  </si>
  <si>
    <t xml:space="preserve"> TWENTY FOUR </t>
  </si>
  <si>
    <t xml:space="preserve"> TWENTY FIVE </t>
  </si>
  <si>
    <t xml:space="preserve"> TWENTY SIX</t>
  </si>
  <si>
    <t xml:space="preserve"> TWENTY SEVEN </t>
  </si>
  <si>
    <t xml:space="preserve"> TWENTY EIGHT</t>
  </si>
  <si>
    <t xml:space="preserve"> TWENTY NINE</t>
  </si>
  <si>
    <t xml:space="preserve"> THIRTY </t>
  </si>
  <si>
    <t xml:space="preserve"> THIRTY ONE</t>
  </si>
  <si>
    <t xml:space="preserve"> THIRTY TWIO </t>
  </si>
  <si>
    <t xml:space="preserve"> THIRTY THREE </t>
  </si>
  <si>
    <t xml:space="preserve"> THIRTY FOUR </t>
  </si>
  <si>
    <t xml:space="preserve"> THIRTY FIVE </t>
  </si>
  <si>
    <t xml:space="preserve"> THIRTY SIX </t>
  </si>
  <si>
    <t xml:space="preserve"> THIRTY SEVEN </t>
  </si>
  <si>
    <t xml:space="preserve"> THIRTY EIGHT </t>
  </si>
  <si>
    <t xml:space="preserve"> THIRTY NINE </t>
  </si>
  <si>
    <t xml:space="preserve"> FORTY </t>
  </si>
  <si>
    <t xml:space="preserve"> FORTY ONE </t>
  </si>
  <si>
    <t xml:space="preserve"> FORTY TWO</t>
  </si>
  <si>
    <t xml:space="preserve"> FORTY THREE </t>
  </si>
  <si>
    <t xml:space="preserve"> FORTY FOUR </t>
  </si>
  <si>
    <t xml:space="preserve"> FORTY FIVE </t>
  </si>
  <si>
    <t xml:space="preserve"> FORTY SIX</t>
  </si>
  <si>
    <t xml:space="preserve"> FORTY EIGHT </t>
  </si>
  <si>
    <t xml:space="preserve"> FORTY NINE </t>
  </si>
  <si>
    <t xml:space="preserve"> FIFTY </t>
  </si>
  <si>
    <t xml:space="preserve"> FIFTY ONE </t>
  </si>
  <si>
    <t xml:space="preserve"> FIFTY TWO </t>
  </si>
  <si>
    <t xml:space="preserve"> FIFYT THREE </t>
  </si>
  <si>
    <t xml:space="preserve"> FIFTY FOUR </t>
  </si>
  <si>
    <t xml:space="preserve"> FIFTY FIVE</t>
  </si>
  <si>
    <t xml:space="preserve"> FIFTY SIX </t>
  </si>
  <si>
    <t xml:space="preserve"> FIFTY SEVEN </t>
  </si>
  <si>
    <t xml:space="preserve"> FIFTY EIGHT</t>
  </si>
  <si>
    <t xml:space="preserve"> FIFTY NINE </t>
  </si>
  <si>
    <t xml:space="preserve"> SIXTY </t>
  </si>
  <si>
    <t xml:space="preserve"> SIXTY ONE </t>
  </si>
  <si>
    <t xml:space="preserve"> SIXTY TWO </t>
  </si>
  <si>
    <t xml:space="preserve"> SIXTY THREE </t>
  </si>
  <si>
    <t xml:space="preserve"> SIXTY FOUR</t>
  </si>
  <si>
    <t xml:space="preserve"> SIXTY FIVE</t>
  </si>
  <si>
    <t xml:space="preserve"> SIXTY SIX </t>
  </si>
  <si>
    <t xml:space="preserve"> SIXTY SEVEN </t>
  </si>
  <si>
    <t xml:space="preserve"> SIXTY EIGHT </t>
  </si>
  <si>
    <t xml:space="preserve"> SIXTY NINE </t>
  </si>
  <si>
    <t xml:space="preserve"> SEVENTY </t>
  </si>
  <si>
    <t xml:space="preserve"> SEVENTY ONE</t>
  </si>
  <si>
    <t xml:space="preserve"> SEVENTY TWO</t>
  </si>
  <si>
    <t xml:space="preserve"> SEVENTY THREE </t>
  </si>
  <si>
    <t xml:space="preserve"> SEVENTY FOUR </t>
  </si>
  <si>
    <t xml:space="preserve"> SEVENTY FIVE </t>
  </si>
  <si>
    <t xml:space="preserve"> SEVENTY SIX </t>
  </si>
  <si>
    <t xml:space="preserve"> SEVENTY SEVEN </t>
  </si>
  <si>
    <t xml:space="preserve"> SEVENTY EIGHT </t>
  </si>
  <si>
    <t xml:space="preserve"> SEVENTY NINE</t>
  </si>
  <si>
    <t xml:space="preserve"> EIGHTY </t>
  </si>
  <si>
    <t xml:space="preserve"> EIGHTY ONE </t>
  </si>
  <si>
    <t xml:space="preserve"> EIGHTY TWO </t>
  </si>
  <si>
    <t xml:space="preserve"> EIGHTY THREE </t>
  </si>
  <si>
    <t xml:space="preserve"> EIGHTY FOUR </t>
  </si>
  <si>
    <t xml:space="preserve"> EIGHTY FIVE </t>
  </si>
  <si>
    <t xml:space="preserve"> EIGHTY SIX </t>
  </si>
  <si>
    <t xml:space="preserve"> EIGHTY SEVEN </t>
  </si>
  <si>
    <t xml:space="preserve"> EIGHTY EIGHT </t>
  </si>
  <si>
    <t xml:space="preserve"> EIGHTY NINE </t>
  </si>
  <si>
    <t xml:space="preserve"> NINTY </t>
  </si>
  <si>
    <t xml:space="preserve"> NINETY ONE </t>
  </si>
  <si>
    <t xml:space="preserve"> NINETY TWO</t>
  </si>
  <si>
    <t xml:space="preserve"> NINETY THREE </t>
  </si>
  <si>
    <t xml:space="preserve"> NINETY FOUR </t>
  </si>
  <si>
    <t xml:space="preserve"> NINETY FIVE </t>
  </si>
  <si>
    <t xml:space="preserve"> NINETY SIX</t>
  </si>
  <si>
    <t xml:space="preserve"> NINETY EIGHT </t>
  </si>
  <si>
    <t xml:space="preserve"> NINETY NINE</t>
  </si>
  <si>
    <t>S.NO</t>
  </si>
  <si>
    <t xml:space="preserve">NUMBER TO TEXT FUNCTION </t>
  </si>
  <si>
    <t>T.SRINIVASA RAO</t>
  </si>
  <si>
    <t>S.A(P.S)</t>
  </si>
  <si>
    <t>S.A(ENG)</t>
  </si>
  <si>
    <t>MANGINAPUDI</t>
  </si>
  <si>
    <t>DONAKONDA</t>
  </si>
  <si>
    <t>07050308033</t>
  </si>
  <si>
    <t>0705</t>
  </si>
  <si>
    <t>STO, DARSI</t>
  </si>
  <si>
    <t>DARSI</t>
  </si>
  <si>
    <t>INTERIUM RELIEF</t>
  </si>
  <si>
    <t xml:space="preserve">               //Attested//                      </t>
  </si>
  <si>
    <t>CPS</t>
  </si>
  <si>
    <t>Cycle Advance</t>
  </si>
  <si>
    <t>EWF Recovery</t>
  </si>
  <si>
    <t>CMRF Deduction</t>
  </si>
  <si>
    <t>DATE____________________</t>
  </si>
  <si>
    <t>Trans ID_________________</t>
  </si>
  <si>
    <t>DDO's TBR No.</t>
  </si>
  <si>
    <t>DISTRICT  :   PRAKASAM</t>
  </si>
  <si>
    <t>DDO 's Signature</t>
  </si>
  <si>
    <t>1.Rs.____________________by transfer credit to the SB Accounts of the Employees (as per Annexure-I)</t>
  </si>
  <si>
    <t>2.Rs.____________________ by transfer credit to the DDO Account towards of Non-Govt.Deducations.</t>
  </si>
  <si>
    <t xml:space="preserve">(For Treasury Use only)    </t>
  </si>
  <si>
    <t>Pay Rs.</t>
  </si>
  <si>
    <r>
      <t xml:space="preserve">GOVERNMENT OF ANDHRA PRADESH ( A.P.T.C.Form - </t>
    </r>
    <r>
      <rPr>
        <b/>
        <sz val="12"/>
        <rFont val="Arial"/>
        <family val="2"/>
      </rPr>
      <t>47 )</t>
    </r>
  </si>
  <si>
    <t xml:space="preserve">in words </t>
  </si>
  <si>
    <t>paid by cash / cheque / draft / debit to account / adjustment.</t>
  </si>
  <si>
    <t>:   Rs.</t>
  </si>
  <si>
    <t>3641 / 220 / 0131738</t>
  </si>
  <si>
    <t>D.A ( 16.264%)</t>
  </si>
  <si>
    <t>0725419</t>
  </si>
  <si>
    <t>G.SRINIVASULU</t>
  </si>
  <si>
    <t>3641 / 220 / 0157584</t>
  </si>
  <si>
    <t>DATA</t>
  </si>
  <si>
    <t>NAME OF THE EMPLOYEE</t>
  </si>
  <si>
    <t>ADDRESS</t>
  </si>
  <si>
    <t>VILLAGE</t>
  </si>
  <si>
    <t>NAMES OF THE CHILDREN</t>
  </si>
  <si>
    <t>Present class of study</t>
  </si>
  <si>
    <t>PRESENT CLASS OF STUDY</t>
  </si>
  <si>
    <t>NAME OF THE SCHOOL STUDIED</t>
  </si>
  <si>
    <t>SCHOOL RECOGNITION NO</t>
  </si>
  <si>
    <t>TUITION FEE PAID PREVIOUS YEAR</t>
  </si>
  <si>
    <t>G.SRI SPANDANA</t>
  </si>
  <si>
    <t>IX</t>
  </si>
  <si>
    <t>G.SRI SRUJANA</t>
  </si>
  <si>
    <t>III</t>
  </si>
  <si>
    <t>LAKSHMI HIGH SCHOOL</t>
  </si>
  <si>
    <t>T.GUNASRI SOWMYA</t>
  </si>
  <si>
    <t>T.KETANA SRIJA</t>
  </si>
  <si>
    <t>VII</t>
  </si>
  <si>
    <t>BHASHYAM PUBLIC SCHOOL</t>
  </si>
  <si>
    <t>NLB(MAIN BRANCH LINKED TO NPB)</t>
  </si>
  <si>
    <t>GOVT BANK NAME</t>
  </si>
  <si>
    <t>GOVT BANK CODE</t>
  </si>
  <si>
    <t>ACCOUNT NO.</t>
  </si>
  <si>
    <t>NAME OF THE DRAWING OFFICER</t>
  </si>
  <si>
    <t>Rc. No.</t>
  </si>
  <si>
    <t>MINOR HEAD</t>
  </si>
  <si>
    <t>GROUP SUB-HEAD</t>
  </si>
  <si>
    <t>SUB-HEAD</t>
  </si>
  <si>
    <t>DETAILED HEAD</t>
  </si>
  <si>
    <t>I</t>
  </si>
  <si>
    <t>SYNDICATE BANK, DARSI</t>
  </si>
  <si>
    <t>T.V.SUBBA RAO</t>
  </si>
  <si>
    <t>B.Com.,B.Ed.</t>
  </si>
  <si>
    <t>HOA - MAJOR HEAD</t>
  </si>
  <si>
    <t>HOA - SUB MAJOR</t>
  </si>
  <si>
    <t>2202</t>
  </si>
  <si>
    <t>02</t>
  </si>
  <si>
    <t>191</t>
  </si>
  <si>
    <t>00</t>
  </si>
  <si>
    <t>05</t>
  </si>
  <si>
    <t>010</t>
  </si>
  <si>
    <t>UNDER G.O.Ms. No. 2, EDUCATION(GEN-1) DEPARTMENT DATED 5-1-2011</t>
  </si>
  <si>
    <t xml:space="preserve">Name of the Pupil </t>
  </si>
  <si>
    <t>2.a)</t>
  </si>
  <si>
    <t>b)</t>
  </si>
  <si>
    <t>Promoted</t>
  </si>
  <si>
    <t>Salary of the parent</t>
  </si>
  <si>
    <t>Declaration of the parent</t>
  </si>
  <si>
    <t>Column No.1 of the application is my son/daughter</t>
  </si>
  <si>
    <t>Signature of the Applicant</t>
  </si>
  <si>
    <t>CERTIFICATE BY THE HEAD OF THE OFFICE</t>
  </si>
  <si>
    <t>Signature of the concerned officer</t>
  </si>
  <si>
    <t>HEAD OF THE INSTITUTION REMARKS</t>
  </si>
  <si>
    <t>Fee concession applied for recommended for sanction</t>
  </si>
  <si>
    <t>Signature of the DDO</t>
  </si>
  <si>
    <t>Signature of the Head Master</t>
  </si>
  <si>
    <t>Class and Section in which the Pupil is now studying</t>
  </si>
  <si>
    <t>Whether the pupil is promoted to that class shown against Col.1 or detained</t>
  </si>
  <si>
    <t>Father's Name</t>
  </si>
  <si>
    <t>The employee's full particulars ie.,post held, department etc., should be stated against relevant head below</t>
  </si>
  <si>
    <t>FIRST DAUGHTER</t>
  </si>
  <si>
    <t>SECOND DAUGHTER</t>
  </si>
  <si>
    <t>FIRST SON</t>
  </si>
  <si>
    <t>SECOND SON</t>
  </si>
  <si>
    <t>STATUS OF THE CHILD</t>
  </si>
  <si>
    <t>II</t>
  </si>
  <si>
    <t>IV</t>
  </si>
  <si>
    <t>VI</t>
  </si>
  <si>
    <t>VIII</t>
  </si>
  <si>
    <t>X</t>
  </si>
  <si>
    <t>NOT ELIGIBLE</t>
  </si>
  <si>
    <t>D/O</t>
  </si>
  <si>
    <t>S/O</t>
  </si>
  <si>
    <t>APPLICATION FOR GRANT OF EDUCATION CONCESSION          FOR THE CHILDREN OF N.G.O'S</t>
  </si>
  <si>
    <t>LOCATION OF SCHOOL</t>
  </si>
  <si>
    <t xml:space="preserve">            Further it is also certified that the school is not in receipt of any grant-in-aid from the Government.</t>
  </si>
  <si>
    <t>Concession claimed by parent</t>
  </si>
  <si>
    <t>Enter The Serial Number of Employee</t>
  </si>
  <si>
    <t>BASIC PAY</t>
  </si>
  <si>
    <t>i t e a c h e r z * i t e a c h e r z * i t e a c h e r z * i t e a c h e r z * i t e a c h e r z * i t e a c h e r z * i t e a c h e r z * i t e a c h e r z * i t e a c h e r z * i t e a c h e r z * i t e a c h e r z</t>
  </si>
  <si>
    <t>iteacherz*iteacherz</t>
  </si>
  <si>
    <t>NPB-1 (SALARY DRAWING BANK)</t>
  </si>
  <si>
    <t>NPB-2 (SALARY DRAWING BANK)</t>
  </si>
  <si>
    <t>DDO designation</t>
  </si>
  <si>
    <t>MESSENGER DESIGNATION</t>
  </si>
  <si>
    <t>PAY BILL NO / TBR NO</t>
  </si>
  <si>
    <t>DISTRICT</t>
  </si>
  <si>
    <t>MANDAL</t>
  </si>
  <si>
    <t>MANDAL EDUCATIONAL OFFICER</t>
  </si>
  <si>
    <t>Gaz.H.M</t>
  </si>
  <si>
    <t>M.E.O</t>
  </si>
  <si>
    <t>ALLOWANCES</t>
  </si>
  <si>
    <t>AG NET AMOUNT</t>
  </si>
  <si>
    <t>NO. OF EMPLOYEES IN BILL</t>
  </si>
  <si>
    <t>EMPLOYEES IN THE BILL</t>
  </si>
  <si>
    <t>41/2013-14</t>
  </si>
  <si>
    <t>M.YELLAMANDA REDDY</t>
  </si>
  <si>
    <t>S.A (M)</t>
  </si>
  <si>
    <t>PRAKASAM</t>
  </si>
  <si>
    <t>Z.P.H.S, MANGINAPUDI</t>
  </si>
  <si>
    <t>Certified that if any excess amount is paid due to the fixation the same will be recovered from the INDIVIDUAL</t>
  </si>
  <si>
    <t>TAN NUMBER OF OFFICE</t>
  </si>
  <si>
    <t>HYDZ03845C</t>
  </si>
  <si>
    <t>DDO CELL NUMBER</t>
  </si>
  <si>
    <t>GAZ. HEAD MASTER</t>
  </si>
  <si>
    <t>Certified that the spouse of the Government Servant for whom Educational Reimbursement is claimed in this bill is not a Govt/Quasi Govt./Other Government Employee(If spouse is employed obtain Non-Drawal Certificate from the sanctioning authority under where the spouse is employed)</t>
  </si>
  <si>
    <t>Certified that the spouse is not a Gazetted Government Servant</t>
  </si>
  <si>
    <t>Certified the children of the Government Servant for whom Educational Reimbursement claimed in this bill have been promoted to the next higher class</t>
  </si>
  <si>
    <t>1) G.O.Ms. No. 2, Edn., S.E(Gen-I) Dept., Dated 05-01-2011</t>
  </si>
  <si>
    <t>2) G.O.Ms. No. 119, Edn., S.E(Ser-IV) Dept., Dated 22-09-2005</t>
  </si>
  <si>
    <t>3) G.O.Ms. No. 40, Dated 07-05-2005</t>
  </si>
  <si>
    <t>4) Requisition of the concerned teacher</t>
  </si>
  <si>
    <t xml:space="preserve">                        If any audit objections arises in future due to sanction of the above amount, such amount will recovered from the individual concerned in lumpsum</t>
  </si>
  <si>
    <t>--------xxxxx-------</t>
  </si>
  <si>
    <t>EMPLOYE ID</t>
  </si>
  <si>
    <t>NAME OF THE EMPLOYEE AND PLACE OF WORKING</t>
  </si>
  <si>
    <t>NAME OF THE CHILD</t>
  </si>
  <si>
    <t>CLASS</t>
  </si>
  <si>
    <t>YEAR OF STUDY</t>
  </si>
  <si>
    <t>AMOUNT SANCTIONED</t>
  </si>
  <si>
    <t>OFFICE OF THE DDO</t>
  </si>
  <si>
    <t>GAZ. HEAD MISTRESS</t>
  </si>
  <si>
    <r>
      <rPr>
        <b/>
        <sz val="16"/>
        <color indexed="17"/>
        <rFont val="Arial"/>
        <family val="2"/>
      </rPr>
      <t>EDUCATION FEE REIMBURSMENT SOFTWARE FOR MULTIPLE EMPLOYEES FROM</t>
    </r>
    <r>
      <rPr>
        <b/>
        <sz val="16"/>
        <color indexed="30"/>
        <rFont val="Arial"/>
        <family val="2"/>
      </rPr>
      <t xml:space="preserve"> iteacherz</t>
    </r>
  </si>
  <si>
    <r>
      <rPr>
        <b/>
        <sz val="15"/>
        <color indexed="17"/>
        <rFont val="Arial"/>
        <family val="2"/>
      </rPr>
      <t>EDUCATION FEE REIMBURSMENT SOFTWARE FOR MULTIPLE EMPLOYEES FROM</t>
    </r>
    <r>
      <rPr>
        <b/>
        <sz val="15"/>
        <color indexed="30"/>
        <rFont val="Arial"/>
        <family val="2"/>
      </rPr>
      <t xml:space="preserve"> iteacherz</t>
    </r>
  </si>
  <si>
    <r>
      <rPr>
        <b/>
        <sz val="13"/>
        <color indexed="17"/>
        <rFont val="Arial"/>
        <family val="2"/>
      </rPr>
      <t>EDUCATION FEE REIMBURSMENT SOFTWARE FROM</t>
    </r>
    <r>
      <rPr>
        <b/>
        <sz val="13"/>
        <color indexed="62"/>
        <rFont val="Arial"/>
        <family val="2"/>
      </rPr>
      <t xml:space="preserve"> iteacherz</t>
    </r>
  </si>
  <si>
    <t>BILL PREPARATION FOR THE ACADEMIC YEAR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</si>
  <si>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</si>
  <si>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</si>
  <si>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</si>
  <si>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</si>
  <si>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</si>
  <si>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</si>
  <si>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</si>
  <si>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</si>
  <si>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2011-12</t>
  </si>
  <si>
    <t>2010-11</t>
  </si>
  <si>
    <t>S.G.T</t>
  </si>
  <si>
    <t>L.F.L H.M</t>
  </si>
  <si>
    <t>P.E.T</t>
  </si>
  <si>
    <t>CRAFT TEACHER</t>
  </si>
  <si>
    <t>MUSIC TEACHER</t>
  </si>
  <si>
    <t>DRAWING TEACHER</t>
  </si>
  <si>
    <t>SEWING TEACHER</t>
  </si>
  <si>
    <t>S.A(M)</t>
  </si>
  <si>
    <t>S.A(HIN)</t>
  </si>
  <si>
    <t>S.A(TEL)</t>
  </si>
  <si>
    <t>S.A(S.S)</t>
  </si>
  <si>
    <t>S.A(URDU)</t>
  </si>
  <si>
    <t>Gr II T.P</t>
  </si>
  <si>
    <t>Gr II H.P</t>
  </si>
  <si>
    <t>Gr II U.P</t>
  </si>
  <si>
    <t>S.A(P.D)</t>
  </si>
  <si>
    <t>OUR OTHER SOFTWARES</t>
  </si>
  <si>
    <t>Software for undertaking for EHS Updated on 17 Dec 2013 as per GO.343, Dt:17.12.13</t>
  </si>
  <si>
    <t>NEW DA (63.344%) software for all UTF Dist &amp; Mandal Units</t>
  </si>
  <si>
    <t>Maruthi AAS2003</t>
  </si>
  <si>
    <t>Maruthi AAS2007 Software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</si>
</sst>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d\-mmm\-yy;@"/>
    <numFmt numFmtId="171" formatCode="[$$-409]#,##0.00"/>
    <numFmt numFmtId="172" formatCode="[$-409]h:mm:ss\ AM/PM"/>
    <numFmt numFmtId="173" formatCode="[$-409]h:mm:ss\ AM/PM;@"/>
    <numFmt numFmtId="174" formatCode="[$-409]mmm\-yy;@"/>
    <numFmt numFmtId="175" formatCode="m/d/yy;@"/>
    <numFmt numFmtId="176" formatCode="[$-409]d\-mmm;@"/>
    <numFmt numFmtId="177" formatCode="0.0"/>
    <numFmt numFmtId="178" formatCode="[$-409]mmmm\-yy;@"/>
    <numFmt numFmtId="179" formatCode="[$-F800]dddd\,\ mmmm\ dd\,\ yyyy"/>
    <numFmt numFmtId="180" formatCode="mm/dd/yy;@"/>
    <numFmt numFmtId="181" formatCode="[$-409]mmmmm;@"/>
    <numFmt numFmtId="182" formatCode="mmm\-yyyy"/>
    <numFmt numFmtId="183" formatCode="[$-409]d\-mmm\-yyyy;@"/>
    <numFmt numFmtId="184" formatCode="[h]:mm:ss;@"/>
    <numFmt numFmtId="185" formatCode="m/d"/>
    <numFmt numFmtId="186" formatCode="[$-409]dd\-mmm\-yy;@"/>
    <numFmt numFmtId="187" formatCode="[$-409]mmmm\ d\,\ yyyy;@"/>
    <numFmt numFmtId="188" formatCode="0.000%"/>
    <numFmt numFmtId="189" formatCode="&quot;$&quot;#,##0.00"/>
    <numFmt numFmtId="190" formatCode="00000"/>
    <numFmt numFmtId="191" formatCode="_([$Php-3409]* #,##0.00_);_([$Php-3409]* \(#,##0.00\);_([$Php-3409]* &quot;-&quot;??_);_(@_)"/>
    <numFmt numFmtId="192" formatCode="000\-00\-0000"/>
    <numFmt numFmtId="193" formatCode="d\-mmm\-yyyy"/>
    <numFmt numFmtId="194" formatCode="m/d/yy\ h:mm\ AM/PM"/>
    <numFmt numFmtId="195" formatCode="mm/dd/yy"/>
    <numFmt numFmtId="196" formatCode="mmmm\ d\,\ yyyy"/>
    <numFmt numFmtId="197" formatCode="[$Rs-420]#,##0.00_-"/>
  </numFmts>
  <fonts count="1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name val="Verdana"/>
      <family val="2"/>
    </font>
    <font>
      <sz val="8"/>
      <name val="Verdana"/>
      <family val="2"/>
    </font>
    <font>
      <sz val="6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2"/>
      <color indexed="57"/>
      <name val="Arial"/>
      <family val="2"/>
    </font>
    <font>
      <b/>
      <sz val="10"/>
      <color indexed="9"/>
      <name val="Arial"/>
      <family val="2"/>
    </font>
    <font>
      <b/>
      <sz val="18"/>
      <name val="ChandraScript"/>
      <family val="0"/>
    </font>
    <font>
      <b/>
      <sz val="18"/>
      <name val="Brahma"/>
      <family val="0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5"/>
      <name val="Arial"/>
      <family val="2"/>
    </font>
    <font>
      <i/>
      <sz val="7"/>
      <name val="Verdana"/>
      <family val="2"/>
    </font>
    <font>
      <sz val="14"/>
      <name val="Copperplate Gothic Bold"/>
      <family val="2"/>
    </font>
    <font>
      <sz val="10"/>
      <name val="Copperplate Gothic Bold"/>
      <family val="2"/>
    </font>
    <font>
      <b/>
      <sz val="14"/>
      <name val="Stencil Std"/>
      <family val="3"/>
    </font>
    <font>
      <sz val="11"/>
      <name val="Arial Black"/>
      <family val="2"/>
    </font>
    <font>
      <b/>
      <sz val="13"/>
      <name val="Verdana"/>
      <family val="2"/>
    </font>
    <font>
      <sz val="12"/>
      <name val="Verdana"/>
      <family val="2"/>
    </font>
    <font>
      <sz val="50"/>
      <name val="Arial"/>
      <family val="2"/>
    </font>
    <font>
      <b/>
      <sz val="22"/>
      <name val="Arial"/>
      <family val="2"/>
    </font>
    <font>
      <b/>
      <sz val="9"/>
      <color indexed="12"/>
      <name val="Tahoma"/>
      <family val="2"/>
    </font>
    <font>
      <b/>
      <sz val="15"/>
      <name val="Courier"/>
      <family val="3"/>
    </font>
    <font>
      <sz val="9"/>
      <name val="Tahoma"/>
      <family val="2"/>
    </font>
    <font>
      <b/>
      <sz val="16"/>
      <color indexed="30"/>
      <name val="Arial"/>
      <family val="2"/>
    </font>
    <font>
      <b/>
      <sz val="16"/>
      <color indexed="17"/>
      <name val="Arial"/>
      <family val="2"/>
    </font>
    <font>
      <b/>
      <sz val="15"/>
      <color indexed="17"/>
      <name val="Arial"/>
      <family val="2"/>
    </font>
    <font>
      <b/>
      <sz val="15"/>
      <color indexed="30"/>
      <name val="Arial"/>
      <family val="2"/>
    </font>
    <font>
      <b/>
      <sz val="13"/>
      <color indexed="17"/>
      <name val="Arial"/>
      <family val="2"/>
    </font>
    <font>
      <b/>
      <sz val="13"/>
      <color indexed="62"/>
      <name val="Arial"/>
      <family val="2"/>
    </font>
    <font>
      <b/>
      <sz val="25"/>
      <name val="Wingdings 3"/>
      <family val="0"/>
    </font>
    <font>
      <b/>
      <sz val="20"/>
      <name val="Calibri"/>
      <family val="0"/>
    </font>
    <font>
      <b/>
      <sz val="15"/>
      <name val="Calibri"/>
      <family val="0"/>
    </font>
    <font>
      <b/>
      <sz val="18"/>
      <name val="Calibri"/>
      <family val="0"/>
    </font>
    <font>
      <b/>
      <sz val="35"/>
      <name val="Calibri"/>
      <family val="0"/>
    </font>
    <font>
      <b/>
      <sz val="3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5"/>
      <color indexed="36"/>
      <name val="Arial"/>
      <family val="2"/>
    </font>
    <font>
      <b/>
      <sz val="33"/>
      <color indexed="60"/>
      <name val="Calibri"/>
      <family val="2"/>
    </font>
    <font>
      <b/>
      <sz val="30"/>
      <color indexed="36"/>
      <name val="Arial"/>
      <family val="2"/>
    </font>
    <font>
      <b/>
      <sz val="18"/>
      <color indexed="62"/>
      <name val="Arial"/>
      <family val="2"/>
    </font>
    <font>
      <b/>
      <sz val="22.5"/>
      <color indexed="62"/>
      <name val="Arial"/>
      <family val="2"/>
    </font>
    <font>
      <b/>
      <sz val="11"/>
      <color indexed="10"/>
      <name val="Calibri"/>
      <family val="0"/>
    </font>
    <font>
      <b/>
      <sz val="11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5"/>
      <color theme="7"/>
      <name val="Arial"/>
      <family val="2"/>
    </font>
    <font>
      <b/>
      <sz val="33"/>
      <color rgb="FFA54200"/>
      <name val="Calibri"/>
      <family val="2"/>
    </font>
    <font>
      <b/>
      <sz val="30"/>
      <color theme="7"/>
      <name val="Arial"/>
      <family val="2"/>
    </font>
    <font>
      <b/>
      <sz val="18"/>
      <color theme="4"/>
      <name val="Arial"/>
      <family val="2"/>
    </font>
    <font>
      <b/>
      <sz val="22.5"/>
      <color theme="4"/>
      <name val="Arial"/>
      <family val="2"/>
    </font>
    <font>
      <b/>
      <sz val="12"/>
      <color theme="6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right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2" fillId="0" borderId="14" xfId="0" applyFont="1" applyBorder="1" applyAlignment="1" quotePrefix="1">
      <alignment vertical="center"/>
    </xf>
    <xf numFmtId="0" fontId="24" fillId="0" borderId="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/>
      <protection hidden="1"/>
    </xf>
    <xf numFmtId="17" fontId="0" fillId="0" borderId="0" xfId="0" applyNumberFormat="1" applyAlignment="1">
      <alignment/>
    </xf>
    <xf numFmtId="0" fontId="27" fillId="0" borderId="0" xfId="53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0" borderId="0" xfId="0" applyNumberFormat="1" applyAlignment="1">
      <alignment/>
    </xf>
    <xf numFmtId="0" fontId="33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8" fillId="0" borderId="0" xfId="0" applyFont="1" applyBorder="1" applyAlignment="1" applyProtection="1">
      <alignment horizontal="center" vertical="center" wrapText="1" shrinkToFit="1"/>
      <protection hidden="1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37" fillId="0" borderId="0" xfId="0" applyFont="1" applyBorder="1" applyAlignment="1" applyProtection="1">
      <alignment horizontal="center" vertical="center"/>
      <protection hidden="1"/>
    </xf>
    <xf numFmtId="0" fontId="23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18" fillId="0" borderId="0" xfId="0" applyFont="1" applyAlignment="1">
      <alignment horizontal="right" wrapText="1"/>
    </xf>
    <xf numFmtId="1" fontId="4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3" fillId="0" borderId="0" xfId="0" applyFont="1" applyBorder="1" applyAlignment="1" quotePrefix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0" fillId="0" borderId="14" xfId="0" applyFont="1" applyBorder="1" applyAlignment="1">
      <alignment vertical="center" wrapText="1"/>
    </xf>
    <xf numFmtId="0" fontId="13" fillId="0" borderId="13" xfId="0" applyFont="1" applyBorder="1" applyAlignment="1" quotePrefix="1">
      <alignment horizontal="center" vertical="center"/>
    </xf>
    <xf numFmtId="0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3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2" fillId="0" borderId="28" xfId="0" applyFont="1" applyBorder="1" applyAlignment="1">
      <alignment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2" fontId="12" fillId="0" borderId="28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17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2" fillId="0" borderId="14" xfId="0" applyFont="1" applyBorder="1" applyAlignment="1">
      <alignment horizontal="center" textRotation="90"/>
    </xf>
    <xf numFmtId="2" fontId="0" fillId="0" borderId="11" xfId="0" applyNumberFormat="1" applyBorder="1" applyAlignment="1">
      <alignment/>
    </xf>
    <xf numFmtId="0" fontId="0" fillId="0" borderId="15" xfId="0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49" fontId="41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2" fillId="0" borderId="14" xfId="0" applyFont="1" applyFill="1" applyBorder="1" applyAlignment="1" quotePrefix="1">
      <alignment vertical="center"/>
    </xf>
    <xf numFmtId="0" fontId="12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14" xfId="0" applyFont="1" applyFill="1" applyBorder="1" applyAlignment="1" quotePrefix="1">
      <alignment vertical="center" wrapText="1"/>
    </xf>
    <xf numFmtId="0" fontId="12" fillId="0" borderId="14" xfId="0" applyFont="1" applyFill="1" applyBorder="1" applyAlignment="1" quotePrefix="1">
      <alignment horizontal="left" vertical="center" wrapText="1"/>
    </xf>
    <xf numFmtId="0" fontId="12" fillId="0" borderId="14" xfId="0" applyFont="1" applyFill="1" applyBorder="1" applyAlignment="1" quotePrefix="1">
      <alignment vertical="top" wrapText="1"/>
    </xf>
    <xf numFmtId="0" fontId="12" fillId="0" borderId="1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8" fillId="0" borderId="12" xfId="0" applyFont="1" applyBorder="1" applyAlignment="1">
      <alignment/>
    </xf>
    <xf numFmtId="0" fontId="12" fillId="0" borderId="26" xfId="0" applyFont="1" applyFill="1" applyBorder="1" applyAlignment="1">
      <alignment/>
    </xf>
    <xf numFmtId="0" fontId="10" fillId="0" borderId="0" xfId="0" applyFont="1" applyBorder="1" applyAlignment="1">
      <alignment shrinkToFit="1"/>
    </xf>
    <xf numFmtId="0" fontId="12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2" fillId="0" borderId="26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12" fillId="0" borderId="26" xfId="0" applyFont="1" applyBorder="1" applyAlignment="1">
      <alignment horizontal="left" vertical="center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left"/>
    </xf>
    <xf numFmtId="0" fontId="12" fillId="33" borderId="10" xfId="0" applyFont="1" applyFill="1" applyBorder="1" applyAlignment="1">
      <alignment horizontal="center" vertical="center"/>
    </xf>
    <xf numFmtId="178" fontId="36" fillId="33" borderId="13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 vertical="top"/>
    </xf>
    <xf numFmtId="0" fontId="12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6" fillId="33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top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33" borderId="0" xfId="0" applyFont="1" applyFill="1" applyAlignment="1">
      <alignment/>
    </xf>
    <xf numFmtId="2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0" fontId="0" fillId="33" borderId="0" xfId="0" applyFill="1" applyAlignment="1" quotePrefix="1">
      <alignment horizontal="right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left"/>
    </xf>
    <xf numFmtId="0" fontId="16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" fontId="15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1" fillId="5" borderId="0" xfId="0" applyFont="1" applyFill="1" applyAlignment="1">
      <alignment wrapText="1"/>
    </xf>
    <xf numFmtId="0" fontId="48" fillId="5" borderId="0" xfId="0" applyFont="1" applyFill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1" fillId="35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 vertical="center"/>
    </xf>
    <xf numFmtId="0" fontId="47" fillId="37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6" xfId="0" applyFill="1" applyBorder="1" applyAlignment="1">
      <alignment vertical="center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22" borderId="0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0" fillId="35" borderId="0" xfId="0" applyFill="1" applyAlignment="1" quotePrefix="1">
      <alignment horizontal="right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center"/>
    </xf>
    <xf numFmtId="0" fontId="15" fillId="35" borderId="0" xfId="0" applyFont="1" applyFill="1" applyAlignment="1">
      <alignment/>
    </xf>
    <xf numFmtId="0" fontId="0" fillId="35" borderId="0" xfId="0" applyFill="1" applyAlignment="1">
      <alignment/>
    </xf>
    <xf numFmtId="0" fontId="29" fillId="0" borderId="0" xfId="0" applyFont="1" applyFill="1" applyAlignment="1">
      <alignment/>
    </xf>
    <xf numFmtId="0" fontId="12" fillId="35" borderId="0" xfId="0" applyFont="1" applyFill="1" applyAlignment="1">
      <alignment/>
    </xf>
    <xf numFmtId="0" fontId="12" fillId="33" borderId="0" xfId="0" applyFont="1" applyFill="1" applyAlignment="1">
      <alignment wrapText="1"/>
    </xf>
    <xf numFmtId="0" fontId="1" fillId="33" borderId="0" xfId="0" applyFont="1" applyFill="1" applyAlignment="1">
      <alignment horizontal="right" vertical="top"/>
    </xf>
    <xf numFmtId="0" fontId="12" fillId="0" borderId="0" xfId="0" applyFont="1" applyBorder="1" applyAlignment="1">
      <alignment horizontal="center" vertical="center" wrapText="1"/>
    </xf>
    <xf numFmtId="0" fontId="105" fillId="3" borderId="0" xfId="0" applyFont="1" applyFill="1" applyAlignment="1">
      <alignment/>
    </xf>
    <xf numFmtId="0" fontId="105" fillId="3" borderId="0" xfId="0" applyFont="1" applyFill="1" applyAlignment="1">
      <alignment vertical="center"/>
    </xf>
    <xf numFmtId="0" fontId="10" fillId="33" borderId="10" xfId="0" applyFont="1" applyFill="1" applyBorder="1" applyAlignment="1" applyProtection="1">
      <alignment horizontal="center" textRotation="90" wrapText="1"/>
      <protection/>
    </xf>
    <xf numFmtId="0" fontId="10" fillId="33" borderId="10" xfId="0" applyFont="1" applyFill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Alignment="1">
      <alignment vertical="center" wrapText="1"/>
    </xf>
    <xf numFmtId="0" fontId="106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0" fillId="0" borderId="0" xfId="0" applyNumberFormat="1" applyFill="1" applyAlignment="1">
      <alignment horizontal="center" vertical="center"/>
    </xf>
    <xf numFmtId="0" fontId="1" fillId="34" borderId="29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0" fillId="36" borderId="31" xfId="0" applyFill="1" applyBorder="1" applyAlignment="1">
      <alignment horizontal="center" vertical="center"/>
    </xf>
    <xf numFmtId="0" fontId="1" fillId="34" borderId="20" xfId="0" applyFont="1" applyFill="1" applyBorder="1" applyAlignment="1">
      <alignment/>
    </xf>
    <xf numFmtId="0" fontId="0" fillId="36" borderId="18" xfId="0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5" borderId="32" xfId="0" applyFont="1" applyFill="1" applyBorder="1" applyAlignment="1">
      <alignment/>
    </xf>
    <xf numFmtId="170" fontId="0" fillId="36" borderId="19" xfId="0" applyNumberFormat="1" applyFill="1" applyBorder="1" applyAlignment="1">
      <alignment horizontal="center" vertical="center"/>
    </xf>
    <xf numFmtId="0" fontId="0" fillId="36" borderId="31" xfId="0" applyFont="1" applyFill="1" applyBorder="1" applyAlignment="1" quotePrefix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18" xfId="0" applyFont="1" applyFill="1" applyBorder="1" applyAlignment="1" quotePrefix="1">
      <alignment horizontal="center"/>
    </xf>
    <xf numFmtId="0" fontId="0" fillId="36" borderId="19" xfId="0" applyFont="1" applyFill="1" applyBorder="1" applyAlignment="1" quotePrefix="1">
      <alignment horizontal="center"/>
    </xf>
    <xf numFmtId="14" fontId="0" fillId="36" borderId="18" xfId="0" applyNumberFormat="1" applyFont="1" applyFill="1" applyBorder="1" applyAlignment="1" quotePrefix="1">
      <alignment horizontal="center"/>
    </xf>
    <xf numFmtId="0" fontId="1" fillId="34" borderId="29" xfId="0" applyFont="1" applyFill="1" applyBorder="1" applyAlignment="1">
      <alignment vertical="center"/>
    </xf>
    <xf numFmtId="0" fontId="1" fillId="34" borderId="30" xfId="0" applyFont="1" applyFill="1" applyBorder="1" applyAlignment="1">
      <alignment vertical="center"/>
    </xf>
    <xf numFmtId="0" fontId="1" fillId="35" borderId="30" xfId="0" applyFont="1" applyFill="1" applyBorder="1" applyAlignment="1">
      <alignment vertical="center"/>
    </xf>
    <xf numFmtId="0" fontId="0" fillId="36" borderId="30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vertical="center"/>
    </xf>
    <xf numFmtId="49" fontId="0" fillId="36" borderId="0" xfId="0" applyNumberFormat="1" applyFont="1" applyFill="1" applyBorder="1" applyAlignment="1">
      <alignment horizontal="center" vertical="center"/>
    </xf>
    <xf numFmtId="49" fontId="0" fillId="36" borderId="18" xfId="0" applyNumberFormat="1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vertical="center"/>
    </xf>
    <xf numFmtId="0" fontId="1" fillId="34" borderId="32" xfId="0" applyFont="1" applyFill="1" applyBorder="1" applyAlignment="1">
      <alignment vertical="center"/>
    </xf>
    <xf numFmtId="0" fontId="1" fillId="35" borderId="32" xfId="0" applyFont="1" applyFill="1" applyBorder="1" applyAlignment="1">
      <alignment vertical="center"/>
    </xf>
    <xf numFmtId="1" fontId="0" fillId="36" borderId="32" xfId="0" applyNumberFormat="1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Border="1" applyAlignment="1">
      <alignment horizontal="center" shrinkToFit="1"/>
    </xf>
    <xf numFmtId="0" fontId="0" fillId="38" borderId="2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8" xfId="0" applyFill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07" fillId="3" borderId="0" xfId="0" applyFont="1" applyFill="1" applyAlignment="1">
      <alignment horizontal="center" vertical="center"/>
    </xf>
    <xf numFmtId="0" fontId="105" fillId="3" borderId="0" xfId="0" applyFont="1" applyFill="1" applyAlignment="1">
      <alignment horizontal="center" vertical="center"/>
    </xf>
    <xf numFmtId="0" fontId="6" fillId="39" borderId="0" xfId="0" applyFont="1" applyFill="1" applyAlignment="1">
      <alignment horizontal="center" vertical="center"/>
    </xf>
    <xf numFmtId="0" fontId="39" fillId="39" borderId="0" xfId="0" applyFont="1" applyFill="1" applyAlignment="1">
      <alignment horizontal="center" vertical="center"/>
    </xf>
    <xf numFmtId="0" fontId="17" fillId="39" borderId="0" xfId="0" applyFont="1" applyFill="1" applyAlignment="1">
      <alignment horizontal="center" vertical="center"/>
    </xf>
    <xf numFmtId="0" fontId="108" fillId="6" borderId="0" xfId="0" applyFont="1" applyFill="1" applyAlignment="1">
      <alignment horizontal="center" vertical="center" textRotation="255"/>
    </xf>
    <xf numFmtId="0" fontId="109" fillId="6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7" fillId="38" borderId="20" xfId="53" applyFill="1" applyBorder="1" applyAlignment="1" applyProtection="1">
      <alignment horizontal="center"/>
      <protection/>
    </xf>
    <xf numFmtId="0" fontId="27" fillId="38" borderId="0" xfId="53" applyFill="1" applyBorder="1" applyAlignment="1" applyProtection="1">
      <alignment horizontal="center"/>
      <protection/>
    </xf>
    <xf numFmtId="0" fontId="27" fillId="38" borderId="18" xfId="53" applyFill="1" applyBorder="1" applyAlignment="1" applyProtection="1">
      <alignment horizontal="center"/>
      <protection/>
    </xf>
    <xf numFmtId="0" fontId="27" fillId="38" borderId="20" xfId="53" applyFill="1" applyBorder="1" applyAlignment="1" applyProtection="1">
      <alignment horizontal="center" wrapText="1"/>
      <protection/>
    </xf>
    <xf numFmtId="0" fontId="27" fillId="38" borderId="0" xfId="53" applyFill="1" applyBorder="1" applyAlignment="1" applyProtection="1">
      <alignment horizontal="center" wrapText="1"/>
      <protection/>
    </xf>
    <xf numFmtId="0" fontId="27" fillId="38" borderId="18" xfId="53" applyFill="1" applyBorder="1" applyAlignment="1" applyProtection="1">
      <alignment horizontal="center" wrapText="1"/>
      <protection/>
    </xf>
    <xf numFmtId="0" fontId="27" fillId="38" borderId="24" xfId="53" applyFill="1" applyBorder="1" applyAlignment="1" applyProtection="1">
      <alignment horizontal="center" wrapText="1"/>
      <protection/>
    </xf>
    <xf numFmtId="0" fontId="27" fillId="38" borderId="32" xfId="53" applyFill="1" applyBorder="1" applyAlignment="1" applyProtection="1">
      <alignment horizontal="center" wrapText="1"/>
      <protection/>
    </xf>
    <xf numFmtId="0" fontId="27" fillId="38" borderId="19" xfId="53" applyFill="1" applyBorder="1" applyAlignment="1" applyProtection="1">
      <alignment horizontal="center" wrapText="1"/>
      <protection/>
    </xf>
    <xf numFmtId="0" fontId="1" fillId="34" borderId="20" xfId="0" applyFont="1" applyFill="1" applyBorder="1" applyAlignment="1">
      <alignment horizontal="center" wrapText="1"/>
    </xf>
    <xf numFmtId="0" fontId="0" fillId="36" borderId="18" xfId="0" applyFont="1" applyFill="1" applyBorder="1" applyAlignment="1" quotePrefix="1">
      <alignment horizontal="center" vertical="center"/>
    </xf>
    <xf numFmtId="0" fontId="6" fillId="40" borderId="0" xfId="0" applyFont="1" applyFill="1" applyAlignment="1">
      <alignment horizontal="center" vertical="center"/>
    </xf>
    <xf numFmtId="0" fontId="110" fillId="38" borderId="21" xfId="0" applyFont="1" applyFill="1" applyBorder="1" applyAlignment="1">
      <alignment horizontal="center"/>
    </xf>
    <xf numFmtId="0" fontId="110" fillId="38" borderId="22" xfId="0" applyFont="1" applyFill="1" applyBorder="1" applyAlignment="1">
      <alignment horizontal="center"/>
    </xf>
    <xf numFmtId="0" fontId="110" fillId="38" borderId="23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0" fontId="19" fillId="0" borderId="33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justify" shrinkToFit="1"/>
    </xf>
    <xf numFmtId="0" fontId="1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shrinkToFit="1"/>
    </xf>
    <xf numFmtId="1" fontId="41" fillId="0" borderId="16" xfId="0" applyNumberFormat="1" applyFont="1" applyBorder="1" applyAlignment="1">
      <alignment horizontal="center" vertical="center"/>
    </xf>
    <xf numFmtId="0" fontId="41" fillId="0" borderId="17" xfId="0" applyNumberFormat="1" applyFont="1" applyBorder="1" applyAlignment="1">
      <alignment horizontal="center" vertical="center"/>
    </xf>
    <xf numFmtId="0" fontId="41" fillId="0" borderId="3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41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41" fillId="0" borderId="16" xfId="0" applyNumberFormat="1" applyFont="1" applyBorder="1" applyAlignment="1">
      <alignment horizontal="center" vertical="center" shrinkToFit="1"/>
    </xf>
    <xf numFmtId="0" fontId="41" fillId="0" borderId="17" xfId="0" applyNumberFormat="1" applyFont="1" applyBorder="1" applyAlignment="1">
      <alignment horizontal="center" vertical="center" shrinkToFit="1"/>
    </xf>
    <xf numFmtId="0" fontId="41" fillId="0" borderId="33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2" fontId="12" fillId="0" borderId="0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0" fontId="12" fillId="0" borderId="11" xfId="0" applyFont="1" applyBorder="1" applyAlignment="1" quotePrefix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right" vertical="center"/>
    </xf>
    <xf numFmtId="2" fontId="10" fillId="0" borderId="33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left" wrapText="1"/>
    </xf>
    <xf numFmtId="0" fontId="0" fillId="35" borderId="0" xfId="0" applyFont="1" applyFill="1" applyAlignment="1">
      <alignment horizontal="left"/>
    </xf>
    <xf numFmtId="0" fontId="44" fillId="33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shrinkToFit="1"/>
    </xf>
    <xf numFmtId="0" fontId="10" fillId="0" borderId="11" xfId="0" applyFont="1" applyBorder="1" applyAlignment="1">
      <alignment horizontal="left" shrinkToFit="1"/>
    </xf>
    <xf numFmtId="2" fontId="1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shrinkToFit="1"/>
    </xf>
    <xf numFmtId="0" fontId="50" fillId="0" borderId="11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 shrinkToFi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 shrinkToFit="1"/>
    </xf>
    <xf numFmtId="0" fontId="26" fillId="33" borderId="0" xfId="0" applyFont="1" applyFill="1" applyAlignment="1">
      <alignment horizontal="justify" vertical="center" wrapText="1"/>
    </xf>
    <xf numFmtId="0" fontId="12" fillId="33" borderId="0" xfId="0" applyFont="1" applyFill="1" applyAlignment="1">
      <alignment horizontal="justify" vertical="top" wrapText="1"/>
    </xf>
    <xf numFmtId="170" fontId="0" fillId="33" borderId="0" xfId="0" applyNumberFormat="1" applyFill="1" applyAlignment="1">
      <alignment horizontal="left"/>
    </xf>
    <xf numFmtId="0" fontId="26" fillId="33" borderId="0" xfId="0" applyFont="1" applyFill="1" applyBorder="1" applyAlignment="1">
      <alignment horizontal="justify" vertical="center" wrapText="1"/>
    </xf>
    <xf numFmtId="0" fontId="12" fillId="35" borderId="0" xfId="0" applyFont="1" applyFill="1" applyAlignment="1" quotePrefix="1">
      <alignment horizontal="center"/>
    </xf>
    <xf numFmtId="0" fontId="12" fillId="35" borderId="0" xfId="0" applyFont="1" applyFill="1" applyAlignment="1">
      <alignment horizontal="center"/>
    </xf>
    <xf numFmtId="1" fontId="1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ATA!Print_Area" /><Relationship Id="rId2" Type="http://schemas.openxmlformats.org/officeDocument/2006/relationships/hyperlink" Target="#PROCEEDINGS!Print_Area" /><Relationship Id="rId3" Type="http://schemas.openxmlformats.org/officeDocument/2006/relationships/hyperlink" Target="#'101&amp;Paper'!Print_Area" /><Relationship Id="rId4" Type="http://schemas.openxmlformats.org/officeDocument/2006/relationships/hyperlink" Target="#'47-front'!Print_Area" /><Relationship Id="rId5" Type="http://schemas.openxmlformats.org/officeDocument/2006/relationships/hyperlink" Target="#BILL!Print_Area" /><Relationship Id="rId6" Type="http://schemas.openxmlformats.org/officeDocument/2006/relationships/hyperlink" Target="#'47-back'!Print_Area" /><Relationship Id="rId7" Type="http://schemas.openxmlformats.org/officeDocument/2006/relationships/hyperlink" Target="#'A.N-I &amp; II'!Print_Area" /><Relationship Id="rId8" Type="http://schemas.openxmlformats.org/officeDocument/2006/relationships/image" Target="../media/image1.png" /><Relationship Id="rId9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hyperlink" Target="#DAT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523875</xdr:colOff>
      <xdr:row>4</xdr:row>
      <xdr:rowOff>152400</xdr:rowOff>
    </xdr:from>
    <xdr:ext cx="771525" cy="457200"/>
    <xdr:sp>
      <xdr:nvSpPr>
        <xdr:cNvPr id="1" name="Rectangle 1"/>
        <xdr:cNvSpPr>
          <a:spLocks/>
        </xdr:cNvSpPr>
      </xdr:nvSpPr>
      <xdr:spPr>
        <a:xfrm>
          <a:off x="762000" y="1685925"/>
          <a:ext cx="771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500" b="1" i="0" u="none" baseline="0"/>
            <a:t>a</a:t>
          </a:r>
        </a:p>
      </xdr:txBody>
    </xdr:sp>
    <xdr:clientData/>
  </xdr:oneCellAnchor>
  <xdr:oneCellAnchor>
    <xdr:from>
      <xdr:col>5</xdr:col>
      <xdr:colOff>933450</xdr:colOff>
      <xdr:row>2</xdr:row>
      <xdr:rowOff>0</xdr:rowOff>
    </xdr:from>
    <xdr:ext cx="1819275" cy="409575"/>
    <xdr:sp>
      <xdr:nvSpPr>
        <xdr:cNvPr id="2" name="Rectangle 3"/>
        <xdr:cNvSpPr>
          <a:spLocks/>
        </xdr:cNvSpPr>
      </xdr:nvSpPr>
      <xdr:spPr>
        <a:xfrm>
          <a:off x="5038725" y="590550"/>
          <a:ext cx="18192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2</xdr:row>
      <xdr:rowOff>0</xdr:rowOff>
    </xdr:from>
    <xdr:ext cx="1724025" cy="428625"/>
    <xdr:sp>
      <xdr:nvSpPr>
        <xdr:cNvPr id="3" name="Rectangle 5">
          <a:hlinkClick r:id="rId1"/>
        </xdr:cNvPr>
        <xdr:cNvSpPr>
          <a:spLocks/>
        </xdr:cNvSpPr>
      </xdr:nvSpPr>
      <xdr:spPr>
        <a:xfrm>
          <a:off x="5038725" y="590550"/>
          <a:ext cx="1724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/>
            <a:t>APPLICATIONS</a:t>
          </a:r>
        </a:p>
      </xdr:txBody>
    </xdr:sp>
    <xdr:clientData/>
  </xdr:oneCellAnchor>
  <xdr:oneCellAnchor>
    <xdr:from>
      <xdr:col>5</xdr:col>
      <xdr:colOff>952500</xdr:colOff>
      <xdr:row>2</xdr:row>
      <xdr:rowOff>285750</xdr:rowOff>
    </xdr:from>
    <xdr:ext cx="1704975" cy="428625"/>
    <xdr:sp>
      <xdr:nvSpPr>
        <xdr:cNvPr id="4" name="Rectangle 6">
          <a:hlinkClick r:id="rId2"/>
        </xdr:cNvPr>
        <xdr:cNvSpPr>
          <a:spLocks/>
        </xdr:cNvSpPr>
      </xdr:nvSpPr>
      <xdr:spPr>
        <a:xfrm>
          <a:off x="5057775" y="876300"/>
          <a:ext cx="1704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/>
            <a:t>PROCEEDINGS</a:t>
          </a:r>
        </a:p>
      </xdr:txBody>
    </xdr:sp>
    <xdr:clientData/>
  </xdr:oneCellAnchor>
  <xdr:oneCellAnchor>
    <xdr:from>
      <xdr:col>5</xdr:col>
      <xdr:colOff>866775</xdr:colOff>
      <xdr:row>3</xdr:row>
      <xdr:rowOff>133350</xdr:rowOff>
    </xdr:from>
    <xdr:ext cx="1866900" cy="323850"/>
    <xdr:sp>
      <xdr:nvSpPr>
        <xdr:cNvPr id="5" name="Rectangle 7">
          <a:hlinkClick r:id="rId3"/>
        </xdr:cNvPr>
        <xdr:cNvSpPr>
          <a:spLocks/>
        </xdr:cNvSpPr>
      </xdr:nvSpPr>
      <xdr:spPr>
        <a:xfrm>
          <a:off x="4972050" y="1200150"/>
          <a:ext cx="1866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500" b="1" i="0" u="none" baseline="0"/>
            <a:t>101</a:t>
          </a:r>
          <a:r>
            <a:rPr lang="en-US" cap="none" sz="1500" b="1" i="0" u="none" baseline="0"/>
            <a:t>, PAPER TOKEN</a:t>
          </a:r>
        </a:p>
      </xdr:txBody>
    </xdr:sp>
    <xdr:clientData/>
  </xdr:oneCellAnchor>
  <xdr:oneCellAnchor>
    <xdr:from>
      <xdr:col>6</xdr:col>
      <xdr:colOff>971550</xdr:colOff>
      <xdr:row>2</xdr:row>
      <xdr:rowOff>266700</xdr:rowOff>
    </xdr:from>
    <xdr:ext cx="1238250" cy="428625"/>
    <xdr:sp>
      <xdr:nvSpPr>
        <xdr:cNvPr id="6" name="Rectangle 8">
          <a:hlinkClick r:id="rId4"/>
        </xdr:cNvPr>
        <xdr:cNvSpPr>
          <a:spLocks/>
        </xdr:cNvSpPr>
      </xdr:nvSpPr>
      <xdr:spPr>
        <a:xfrm>
          <a:off x="6858000" y="857250"/>
          <a:ext cx="1238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/>
            <a:t>47 FORNT</a:t>
          </a:r>
        </a:p>
      </xdr:txBody>
    </xdr:sp>
    <xdr:clientData/>
  </xdr:oneCellAnchor>
  <xdr:oneCellAnchor>
    <xdr:from>
      <xdr:col>6</xdr:col>
      <xdr:colOff>923925</xdr:colOff>
      <xdr:row>2</xdr:row>
      <xdr:rowOff>0</xdr:rowOff>
    </xdr:from>
    <xdr:ext cx="1295400" cy="428625"/>
    <xdr:sp>
      <xdr:nvSpPr>
        <xdr:cNvPr id="7" name="Rectangle 9">
          <a:hlinkClick r:id="rId5"/>
        </xdr:cNvPr>
        <xdr:cNvSpPr>
          <a:spLocks/>
        </xdr:cNvSpPr>
      </xdr:nvSpPr>
      <xdr:spPr>
        <a:xfrm>
          <a:off x="6810375" y="590550"/>
          <a:ext cx="1295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/>
            <a:t>BILL  PAGE</a:t>
          </a:r>
        </a:p>
      </xdr:txBody>
    </xdr:sp>
    <xdr:clientData/>
  </xdr:oneCellAnchor>
  <xdr:oneCellAnchor>
    <xdr:from>
      <xdr:col>6</xdr:col>
      <xdr:colOff>1009650</xdr:colOff>
      <xdr:row>3</xdr:row>
      <xdr:rowOff>57150</xdr:rowOff>
    </xdr:from>
    <xdr:ext cx="1085850" cy="428625"/>
    <xdr:sp>
      <xdr:nvSpPr>
        <xdr:cNvPr id="8" name="Rectangle 10">
          <a:hlinkClick r:id="rId6"/>
        </xdr:cNvPr>
        <xdr:cNvSpPr>
          <a:spLocks/>
        </xdr:cNvSpPr>
      </xdr:nvSpPr>
      <xdr:spPr>
        <a:xfrm>
          <a:off x="6896100" y="1123950"/>
          <a:ext cx="1085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/>
            <a:t>47 BACK</a:t>
          </a:r>
        </a:p>
      </xdr:txBody>
    </xdr:sp>
    <xdr:clientData/>
  </xdr:oneCellAnchor>
  <xdr:oneCellAnchor>
    <xdr:from>
      <xdr:col>7</xdr:col>
      <xdr:colOff>371475</xdr:colOff>
      <xdr:row>2</xdr:row>
      <xdr:rowOff>85725</xdr:rowOff>
    </xdr:from>
    <xdr:ext cx="1304925" cy="657225"/>
    <xdr:sp>
      <xdr:nvSpPr>
        <xdr:cNvPr id="9" name="Rectangle 11">
          <a:hlinkClick r:id="rId7"/>
        </xdr:cNvPr>
        <xdr:cNvSpPr>
          <a:spLocks/>
        </xdr:cNvSpPr>
      </xdr:nvSpPr>
      <xdr:spPr>
        <a:xfrm>
          <a:off x="8039100" y="676275"/>
          <a:ext cx="1304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/>
            <a:t>ANNEXURE( 2 COPIES</a:t>
          </a:r>
          <a:r>
            <a:rPr lang="en-US" cap="none" sz="1800" b="1" i="0" u="none" baseline="0"/>
            <a:t> )</a:t>
          </a:r>
        </a:p>
      </xdr:txBody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1066800</xdr:colOff>
      <xdr:row>3</xdr:row>
      <xdr:rowOff>457200</xdr:rowOff>
    </xdr:to>
    <xdr:pic>
      <xdr:nvPicPr>
        <xdr:cNvPr id="10" name="Picture 12" descr="iteacherz twitter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52550" y="590550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247650</xdr:rowOff>
    </xdr:from>
    <xdr:to>
      <xdr:col>1</xdr:col>
      <xdr:colOff>1085850</xdr:colOff>
      <xdr:row>4</xdr:row>
      <xdr:rowOff>133350</xdr:rowOff>
    </xdr:to>
    <xdr:pic>
      <xdr:nvPicPr>
        <xdr:cNvPr id="11" name="Picture 13" descr="utf.bm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" y="590550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161925</xdr:colOff>
      <xdr:row>3</xdr:row>
      <xdr:rowOff>114300</xdr:rowOff>
    </xdr:from>
    <xdr:ext cx="1800225" cy="638175"/>
    <xdr:sp>
      <xdr:nvSpPr>
        <xdr:cNvPr id="12" name="Rectangle 14"/>
        <xdr:cNvSpPr>
          <a:spLocks/>
        </xdr:cNvSpPr>
      </xdr:nvSpPr>
      <xdr:spPr>
        <a:xfrm>
          <a:off x="2667000" y="1181100"/>
          <a:ext cx="18002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500" b="1" i="0" u="none" baseline="0"/>
            <a:t>DATA</a:t>
          </a:r>
        </a:p>
      </xdr:txBody>
    </xdr:sp>
    <xdr:clientData/>
  </xdr:oneCellAnchor>
  <xdr:oneCellAnchor>
    <xdr:from>
      <xdr:col>5</xdr:col>
      <xdr:colOff>485775</xdr:colOff>
      <xdr:row>3</xdr:row>
      <xdr:rowOff>371475</xdr:rowOff>
    </xdr:from>
    <xdr:ext cx="5248275" cy="266700"/>
    <xdr:sp>
      <xdr:nvSpPr>
        <xdr:cNvPr id="13" name="TextBox 16"/>
        <xdr:cNvSpPr txBox="1">
          <a:spLocks noChangeArrowheads="1"/>
        </xdr:cNvSpPr>
      </xdr:nvSpPr>
      <xdr:spPr>
        <a:xfrm>
          <a:off x="4591050" y="1438275"/>
          <a:ext cx="5248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send your doubts or suggetions to my mail  @   srinivasarao.thanga@gmail.com</a:t>
          </a:r>
        </a:p>
      </xdr:txBody>
    </xdr:sp>
    <xdr:clientData/>
  </xdr:oneCellAnchor>
  <xdr:oneCellAnchor>
    <xdr:from>
      <xdr:col>0</xdr:col>
      <xdr:colOff>152400</xdr:colOff>
      <xdr:row>0</xdr:row>
      <xdr:rowOff>323850</xdr:rowOff>
    </xdr:from>
    <xdr:ext cx="11125200" cy="266700"/>
    <xdr:sp>
      <xdr:nvSpPr>
        <xdr:cNvPr id="14" name="TextBox 15"/>
        <xdr:cNvSpPr txBox="1">
          <a:spLocks noChangeArrowheads="1"/>
        </xdr:cNvSpPr>
      </xdr:nvSpPr>
      <xdr:spPr>
        <a:xfrm>
          <a:off x="152400" y="323850"/>
          <a:ext cx="11125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Edit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only blue coloured cells. other wise the software may be corrupted.  No passwords set down in the file. You can edit the file as per your requirement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29</xdr:row>
      <xdr:rowOff>28575</xdr:rowOff>
    </xdr:from>
    <xdr:to>
      <xdr:col>15</xdr:col>
      <xdr:colOff>9525</xdr:colOff>
      <xdr:row>32</xdr:row>
      <xdr:rowOff>133350</xdr:rowOff>
    </xdr:to>
    <xdr:sp>
      <xdr:nvSpPr>
        <xdr:cNvPr id="1" name="Oval 2"/>
        <xdr:cNvSpPr>
          <a:spLocks/>
        </xdr:cNvSpPr>
      </xdr:nvSpPr>
      <xdr:spPr>
        <a:xfrm>
          <a:off x="4838700" y="3905250"/>
          <a:ext cx="62865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</xdr:row>
      <xdr:rowOff>57150</xdr:rowOff>
    </xdr:from>
    <xdr:to>
      <xdr:col>11</xdr:col>
      <xdr:colOff>38100</xdr:colOff>
      <xdr:row>2</xdr:row>
      <xdr:rowOff>0</xdr:rowOff>
    </xdr:to>
    <xdr:grpSp>
      <xdr:nvGrpSpPr>
        <xdr:cNvPr id="2" name="Group 12"/>
        <xdr:cNvGrpSpPr>
          <a:grpSpLocks/>
        </xdr:cNvGrpSpPr>
      </xdr:nvGrpSpPr>
      <xdr:grpSpPr>
        <a:xfrm>
          <a:off x="1543050" y="104775"/>
          <a:ext cx="2667000" cy="209550"/>
          <a:chOff x="192" y="38"/>
          <a:chExt cx="276" cy="32"/>
        </a:xfrm>
        <a:solidFill>
          <a:srgbClr val="FFFFFF"/>
        </a:solidFill>
      </xdr:grpSpPr>
      <xdr:pic>
        <xdr:nvPicPr>
          <xdr:cNvPr id="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2" y="38"/>
            <a:ext cx="138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5" y="39"/>
            <a:ext cx="133" cy="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876300</xdr:colOff>
      <xdr:row>59</xdr:row>
      <xdr:rowOff>66675</xdr:rowOff>
    </xdr:from>
    <xdr:to>
      <xdr:col>2</xdr:col>
      <xdr:colOff>295275</xdr:colOff>
      <xdr:row>62</xdr:row>
      <xdr:rowOff>95250</xdr:rowOff>
    </xdr:to>
    <xdr:sp>
      <xdr:nvSpPr>
        <xdr:cNvPr id="5" name="Oval 1"/>
        <xdr:cNvSpPr>
          <a:spLocks/>
        </xdr:cNvSpPr>
      </xdr:nvSpPr>
      <xdr:spPr>
        <a:xfrm>
          <a:off x="923925" y="9020175"/>
          <a:ext cx="561975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29</xdr:row>
      <xdr:rowOff>28575</xdr:rowOff>
    </xdr:from>
    <xdr:to>
      <xdr:col>1</xdr:col>
      <xdr:colOff>885825</xdr:colOff>
      <xdr:row>32</xdr:row>
      <xdr:rowOff>133350</xdr:rowOff>
    </xdr:to>
    <xdr:sp>
      <xdr:nvSpPr>
        <xdr:cNvPr id="6" name="Oval 2"/>
        <xdr:cNvSpPr>
          <a:spLocks/>
        </xdr:cNvSpPr>
      </xdr:nvSpPr>
      <xdr:spPr>
        <a:xfrm>
          <a:off x="304800" y="3905250"/>
          <a:ext cx="62865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190500</xdr:colOff>
      <xdr:row>1</xdr:row>
      <xdr:rowOff>123825</xdr:rowOff>
    </xdr:from>
    <xdr:ext cx="1371600" cy="609600"/>
    <xdr:sp>
      <xdr:nvSpPr>
        <xdr:cNvPr id="7" name="Rectangle 7">
          <a:hlinkClick r:id="rId3"/>
        </xdr:cNvPr>
        <xdr:cNvSpPr>
          <a:spLocks/>
        </xdr:cNvSpPr>
      </xdr:nvSpPr>
      <xdr:spPr>
        <a:xfrm>
          <a:off x="6010275" y="171450"/>
          <a:ext cx="1371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300" b="1" i="0" u="none" baseline="0"/>
            <a:t>DATA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63</xdr:row>
      <xdr:rowOff>47625</xdr:rowOff>
    </xdr:from>
    <xdr:to>
      <xdr:col>6</xdr:col>
      <xdr:colOff>19050</xdr:colOff>
      <xdr:row>66</xdr:row>
      <xdr:rowOff>295275</xdr:rowOff>
    </xdr:to>
    <xdr:sp>
      <xdr:nvSpPr>
        <xdr:cNvPr id="1" name="Oval 3"/>
        <xdr:cNvSpPr>
          <a:spLocks/>
        </xdr:cNvSpPr>
      </xdr:nvSpPr>
      <xdr:spPr>
        <a:xfrm>
          <a:off x="381000" y="8943975"/>
          <a:ext cx="790575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64</xdr:row>
      <xdr:rowOff>76200</xdr:rowOff>
    </xdr:from>
    <xdr:to>
      <xdr:col>5</xdr:col>
      <xdr:colOff>247650</xdr:colOff>
      <xdr:row>64</xdr:row>
      <xdr:rowOff>152400</xdr:rowOff>
    </xdr:to>
    <xdr:sp>
      <xdr:nvSpPr>
        <xdr:cNvPr id="2" name="WordArt 4"/>
        <xdr:cNvSpPr>
          <a:spLocks/>
        </xdr:cNvSpPr>
      </xdr:nvSpPr>
      <xdr:spPr>
        <a:xfrm>
          <a:off x="561975" y="9163050"/>
          <a:ext cx="457200" cy="76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NBST /</a:t>
          </a:r>
        </a:p>
      </xdr:txBody>
    </xdr:sp>
    <xdr:clientData/>
  </xdr:twoCellAnchor>
  <xdr:twoCellAnchor>
    <xdr:from>
      <xdr:col>4</xdr:col>
      <xdr:colOff>104775</xdr:colOff>
      <xdr:row>65</xdr:row>
      <xdr:rowOff>28575</xdr:rowOff>
    </xdr:from>
    <xdr:to>
      <xdr:col>5</xdr:col>
      <xdr:colOff>180975</xdr:colOff>
      <xdr:row>65</xdr:row>
      <xdr:rowOff>104775</xdr:rowOff>
    </xdr:to>
    <xdr:sp>
      <xdr:nvSpPr>
        <xdr:cNvPr id="3" name="WordArt 7"/>
        <xdr:cNvSpPr>
          <a:spLocks/>
        </xdr:cNvSpPr>
      </xdr:nvSpPr>
      <xdr:spPr>
        <a:xfrm>
          <a:off x="600075" y="9305925"/>
          <a:ext cx="352425" cy="76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Bank</a:t>
          </a:r>
        </a:p>
      </xdr:txBody>
    </xdr:sp>
    <xdr:clientData/>
  </xdr:twoCellAnchor>
  <xdr:twoCellAnchor>
    <xdr:from>
      <xdr:col>4</xdr:col>
      <xdr:colOff>133350</xdr:colOff>
      <xdr:row>66</xdr:row>
      <xdr:rowOff>19050</xdr:rowOff>
    </xdr:from>
    <xdr:to>
      <xdr:col>5</xdr:col>
      <xdr:colOff>152400</xdr:colOff>
      <xdr:row>66</xdr:row>
      <xdr:rowOff>95250</xdr:rowOff>
    </xdr:to>
    <xdr:sp>
      <xdr:nvSpPr>
        <xdr:cNvPr id="4" name="WordArt 8"/>
        <xdr:cNvSpPr>
          <a:spLocks/>
        </xdr:cNvSpPr>
      </xdr:nvSpPr>
      <xdr:spPr>
        <a:xfrm>
          <a:off x="628650" y="9458325"/>
          <a:ext cx="295275" cy="76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Seal</a:t>
          </a:r>
        </a:p>
      </xdr:txBody>
    </xdr:sp>
    <xdr:clientData/>
  </xdr:twoCellAnchor>
  <xdr:oneCellAnchor>
    <xdr:from>
      <xdr:col>29</xdr:col>
      <xdr:colOff>0</xdr:colOff>
      <xdr:row>2</xdr:row>
      <xdr:rowOff>0</xdr:rowOff>
    </xdr:from>
    <xdr:ext cx="1371600" cy="609600"/>
    <xdr:sp>
      <xdr:nvSpPr>
        <xdr:cNvPr id="5" name="Rectangle 5">
          <a:hlinkClick r:id="rId1"/>
        </xdr:cNvPr>
        <xdr:cNvSpPr>
          <a:spLocks/>
        </xdr:cNvSpPr>
      </xdr:nvSpPr>
      <xdr:spPr>
        <a:xfrm>
          <a:off x="6238875" y="266700"/>
          <a:ext cx="1371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300" b="1" i="0" u="none" baseline="0"/>
            <a:t>DATA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2</xdr:row>
      <xdr:rowOff>0</xdr:rowOff>
    </xdr:from>
    <xdr:ext cx="1371600" cy="60960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11534775" y="266700"/>
          <a:ext cx="1371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300" b="1" i="0" u="none" baseline="0"/>
            <a:t>DATA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3</xdr:row>
      <xdr:rowOff>0</xdr:rowOff>
    </xdr:from>
    <xdr:ext cx="1371600" cy="60960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276975" y="400050"/>
          <a:ext cx="1371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300" b="1" i="0" u="none" baseline="0"/>
            <a:t>DATA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</xdr:row>
      <xdr:rowOff>0</xdr:rowOff>
    </xdr:from>
    <xdr:ext cx="1371600" cy="60960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8667750" y="571500"/>
          <a:ext cx="1371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300" b="1" i="0" u="none" baseline="0"/>
            <a:t>DATA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47625</xdr:colOff>
      <xdr:row>2</xdr:row>
      <xdr:rowOff>0</xdr:rowOff>
    </xdr:from>
    <xdr:ext cx="1371600" cy="60960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477000" y="304800"/>
          <a:ext cx="1371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300" b="1" i="0" u="none" baseline="0"/>
            <a:t>DATA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roups.google.com/group/gunasri/attach/193c94a6d3e243b7/software%20for%20undertaking%20for%20EHS%20Updated%2017.12.13.xls?part=4" TargetMode="External" /><Relationship Id="rId2" Type="http://schemas.openxmlformats.org/officeDocument/2006/relationships/hyperlink" Target="http://www.4shared.com/document/fnCOhxDN/maruthi__AAS2003.html" TargetMode="External" /><Relationship Id="rId3" Type="http://schemas.openxmlformats.org/officeDocument/2006/relationships/hyperlink" Target="http://www.4shared.com/file/E7M8rS45/maruthi__AAS.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0"/>
  <sheetViews>
    <sheetView showRowColHeaders="0" tabSelected="1" zoomScalePageLayoutView="0" workbookViewId="0" topLeftCell="A1">
      <selection activeCell="F10" sqref="F10"/>
    </sheetView>
  </sheetViews>
  <sheetFormatPr defaultColWidth="9.140625" defaultRowHeight="12.75"/>
  <cols>
    <col min="1" max="1" width="3.57421875" style="247" customWidth="1"/>
    <col min="2" max="2" width="16.7109375" style="248" customWidth="1"/>
    <col min="3" max="3" width="16.421875" style="248" customWidth="1"/>
    <col min="4" max="4" width="0.85546875" style="249" customWidth="1"/>
    <col min="5" max="5" width="24.00390625" style="250" customWidth="1"/>
    <col min="6" max="10" width="26.7109375" style="250" customWidth="1"/>
    <col min="11" max="16" width="26.7109375" style="248" customWidth="1"/>
    <col min="17" max="17" width="3.57421875" style="248" customWidth="1"/>
    <col min="18" max="16384" width="9.140625" style="248" customWidth="1"/>
  </cols>
  <sheetData>
    <row r="1" spans="1:17" ht="27" customHeight="1">
      <c r="A1" s="361" t="s">
        <v>440</v>
      </c>
      <c r="B1" s="361"/>
      <c r="C1" s="361"/>
      <c r="D1" s="361"/>
      <c r="E1" s="361"/>
      <c r="F1" s="361"/>
      <c r="G1" s="361"/>
      <c r="H1" s="361"/>
      <c r="I1" s="362" t="s">
        <v>441</v>
      </c>
      <c r="J1" s="362"/>
      <c r="K1" s="362"/>
      <c r="L1" s="362"/>
      <c r="M1" s="362"/>
      <c r="N1" s="363" t="s">
        <v>442</v>
      </c>
      <c r="O1" s="363"/>
      <c r="P1" s="363"/>
      <c r="Q1" s="363"/>
    </row>
    <row r="2" spans="1:17" ht="19.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</row>
    <row r="3" spans="1:17" ht="37.5" customHeight="1">
      <c r="A3" s="364" t="s">
        <v>398</v>
      </c>
      <c r="B3" s="359" t="s">
        <v>318</v>
      </c>
      <c r="C3" s="360"/>
      <c r="D3" s="265"/>
      <c r="E3" s="306"/>
      <c r="F3" s="306"/>
      <c r="G3" s="307"/>
      <c r="H3" s="307"/>
      <c r="I3" s="360" t="s">
        <v>318</v>
      </c>
      <c r="J3" s="360"/>
      <c r="K3" s="360" t="s">
        <v>318</v>
      </c>
      <c r="L3" s="360"/>
      <c r="M3" s="360" t="s">
        <v>318</v>
      </c>
      <c r="N3" s="360"/>
      <c r="O3" s="360" t="s">
        <v>318</v>
      </c>
      <c r="P3" s="360"/>
      <c r="Q3" s="364" t="s">
        <v>398</v>
      </c>
    </row>
    <row r="4" spans="1:17" ht="36.75" customHeight="1">
      <c r="A4" s="364"/>
      <c r="B4" s="359"/>
      <c r="C4" s="360"/>
      <c r="D4" s="265"/>
      <c r="E4" s="306"/>
      <c r="F4" s="306"/>
      <c r="G4" s="307"/>
      <c r="H4" s="307"/>
      <c r="I4" s="360"/>
      <c r="J4" s="360"/>
      <c r="K4" s="360"/>
      <c r="L4" s="360"/>
      <c r="M4" s="360"/>
      <c r="N4" s="360"/>
      <c r="O4" s="360"/>
      <c r="P4" s="360"/>
      <c r="Q4" s="364"/>
    </row>
    <row r="5" spans="1:17" ht="45.75" customHeight="1" thickBot="1">
      <c r="A5" s="364"/>
      <c r="B5" s="261" t="s">
        <v>395</v>
      </c>
      <c r="C5" s="269">
        <v>1</v>
      </c>
      <c r="D5" s="265"/>
      <c r="E5" s="262">
        <v>1</v>
      </c>
      <c r="F5" s="262">
        <v>2</v>
      </c>
      <c r="G5" s="262">
        <v>3</v>
      </c>
      <c r="H5" s="262">
        <v>4</v>
      </c>
      <c r="I5" s="262">
        <v>5</v>
      </c>
      <c r="J5" s="262">
        <v>6</v>
      </c>
      <c r="K5" s="262">
        <v>7</v>
      </c>
      <c r="L5" s="262">
        <v>8</v>
      </c>
      <c r="M5" s="262">
        <v>9</v>
      </c>
      <c r="N5" s="262">
        <v>10</v>
      </c>
      <c r="O5" s="262">
        <v>11</v>
      </c>
      <c r="P5" s="262">
        <v>12</v>
      </c>
      <c r="Q5" s="364"/>
    </row>
    <row r="6" spans="1:17" ht="12.75" customHeight="1">
      <c r="A6" s="364"/>
      <c r="B6" s="336" t="s">
        <v>319</v>
      </c>
      <c r="C6" s="337"/>
      <c r="D6" s="338"/>
      <c r="E6" s="339" t="s">
        <v>316</v>
      </c>
      <c r="F6" s="339" t="s">
        <v>285</v>
      </c>
      <c r="G6" s="339"/>
      <c r="H6" s="339"/>
      <c r="I6" s="339"/>
      <c r="J6" s="339"/>
      <c r="K6" s="339"/>
      <c r="L6" s="339"/>
      <c r="M6" s="339"/>
      <c r="N6" s="339"/>
      <c r="O6" s="339"/>
      <c r="P6" s="340"/>
      <c r="Q6" s="364"/>
    </row>
    <row r="7" spans="1:17" ht="12.75">
      <c r="A7" s="364"/>
      <c r="B7" s="341" t="s">
        <v>181</v>
      </c>
      <c r="C7" s="264"/>
      <c r="D7" s="265"/>
      <c r="E7" s="342" t="s">
        <v>315</v>
      </c>
      <c r="F7" s="342" t="s">
        <v>167</v>
      </c>
      <c r="G7" s="342"/>
      <c r="H7" s="342"/>
      <c r="I7" s="342"/>
      <c r="J7" s="342"/>
      <c r="K7" s="342"/>
      <c r="L7" s="342"/>
      <c r="M7" s="342"/>
      <c r="N7" s="342"/>
      <c r="O7" s="342"/>
      <c r="P7" s="343"/>
      <c r="Q7" s="364"/>
    </row>
    <row r="8" spans="1:17" ht="12.75">
      <c r="A8" s="364"/>
      <c r="B8" s="341" t="s">
        <v>164</v>
      </c>
      <c r="C8" s="264"/>
      <c r="D8" s="265"/>
      <c r="E8" s="268" t="s">
        <v>286</v>
      </c>
      <c r="F8" s="268" t="s">
        <v>286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364"/>
    </row>
    <row r="9" spans="1:17" ht="12.75">
      <c r="A9" s="364"/>
      <c r="B9" s="341" t="s">
        <v>320</v>
      </c>
      <c r="C9" s="264"/>
      <c r="D9" s="265"/>
      <c r="E9" s="268" t="s">
        <v>168</v>
      </c>
      <c r="F9" s="268" t="s">
        <v>168</v>
      </c>
      <c r="G9" s="268"/>
      <c r="H9" s="268"/>
      <c r="I9" s="268"/>
      <c r="J9" s="268"/>
      <c r="K9" s="268"/>
      <c r="L9" s="268"/>
      <c r="M9" s="268"/>
      <c r="N9" s="268"/>
      <c r="O9" s="268"/>
      <c r="P9" s="326"/>
      <c r="Q9" s="364"/>
    </row>
    <row r="10" spans="1:17" ht="12.75">
      <c r="A10" s="364"/>
      <c r="B10" s="341" t="s">
        <v>321</v>
      </c>
      <c r="C10" s="264"/>
      <c r="D10" s="265"/>
      <c r="E10" s="268" t="s">
        <v>288</v>
      </c>
      <c r="F10" s="268" t="s">
        <v>288</v>
      </c>
      <c r="G10" s="268"/>
      <c r="H10" s="268"/>
      <c r="I10" s="268"/>
      <c r="J10" s="268"/>
      <c r="K10" s="268"/>
      <c r="L10" s="268"/>
      <c r="M10" s="268"/>
      <c r="N10" s="268"/>
      <c r="O10" s="268"/>
      <c r="P10" s="326"/>
      <c r="Q10" s="364"/>
    </row>
    <row r="11" spans="1:17" ht="12.75">
      <c r="A11" s="364"/>
      <c r="B11" s="341" t="s">
        <v>322</v>
      </c>
      <c r="C11" s="264"/>
      <c r="D11" s="265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326"/>
      <c r="Q11" s="364"/>
    </row>
    <row r="12" spans="1:17" ht="12.75">
      <c r="A12" s="364"/>
      <c r="B12" s="341">
        <v>1</v>
      </c>
      <c r="C12" s="264"/>
      <c r="D12" s="265"/>
      <c r="E12" s="268" t="s">
        <v>328</v>
      </c>
      <c r="F12" s="268" t="s">
        <v>333</v>
      </c>
      <c r="G12" s="268"/>
      <c r="H12" s="268"/>
      <c r="I12" s="268"/>
      <c r="J12" s="268"/>
      <c r="K12" s="268"/>
      <c r="L12" s="268"/>
      <c r="M12" s="268"/>
      <c r="N12" s="268"/>
      <c r="O12" s="268"/>
      <c r="P12" s="326"/>
      <c r="Q12" s="364"/>
    </row>
    <row r="13" spans="1:17" ht="12.75">
      <c r="A13" s="364"/>
      <c r="B13" s="341" t="s">
        <v>382</v>
      </c>
      <c r="C13" s="264"/>
      <c r="D13" s="265"/>
      <c r="E13" s="268" t="s">
        <v>378</v>
      </c>
      <c r="F13" s="268" t="s">
        <v>378</v>
      </c>
      <c r="G13" s="268"/>
      <c r="H13" s="268"/>
      <c r="I13" s="268"/>
      <c r="J13" s="268"/>
      <c r="K13" s="268"/>
      <c r="L13" s="268"/>
      <c r="M13" s="268"/>
      <c r="N13" s="268"/>
      <c r="O13" s="268"/>
      <c r="P13" s="326"/>
      <c r="Q13" s="364"/>
    </row>
    <row r="14" spans="1:17" ht="12.75">
      <c r="A14" s="364"/>
      <c r="B14" s="341" t="s">
        <v>323</v>
      </c>
      <c r="C14" s="264"/>
      <c r="D14" s="265"/>
      <c r="E14" s="268" t="s">
        <v>329</v>
      </c>
      <c r="F14" s="268" t="s">
        <v>335</v>
      </c>
      <c r="G14" s="268" t="s">
        <v>335</v>
      </c>
      <c r="H14" s="268" t="s">
        <v>329</v>
      </c>
      <c r="I14" s="268" t="s">
        <v>56</v>
      </c>
      <c r="J14" s="268" t="s">
        <v>56</v>
      </c>
      <c r="K14" s="268" t="s">
        <v>329</v>
      </c>
      <c r="L14" s="268" t="s">
        <v>56</v>
      </c>
      <c r="M14" s="268" t="s">
        <v>384</v>
      </c>
      <c r="N14" s="268" t="s">
        <v>385</v>
      </c>
      <c r="O14" s="268" t="s">
        <v>335</v>
      </c>
      <c r="P14" s="326" t="s">
        <v>385</v>
      </c>
      <c r="Q14" s="364"/>
    </row>
    <row r="15" spans="1:17" ht="12.75">
      <c r="A15" s="364"/>
      <c r="B15" s="341" t="s">
        <v>327</v>
      </c>
      <c r="C15" s="264"/>
      <c r="D15" s="265"/>
      <c r="E15" s="268">
        <v>2000</v>
      </c>
      <c r="F15" s="268">
        <v>1600</v>
      </c>
      <c r="G15" s="268"/>
      <c r="H15" s="268"/>
      <c r="I15" s="268"/>
      <c r="J15" s="268"/>
      <c r="K15" s="268"/>
      <c r="L15" s="268"/>
      <c r="M15" s="268"/>
      <c r="N15" s="268"/>
      <c r="O15" s="268"/>
      <c r="P15" s="326"/>
      <c r="Q15" s="364"/>
    </row>
    <row r="16" spans="1:17" ht="12.75">
      <c r="A16" s="364"/>
      <c r="B16" s="341" t="s">
        <v>325</v>
      </c>
      <c r="C16" s="264"/>
      <c r="D16" s="265"/>
      <c r="E16" s="268" t="s">
        <v>332</v>
      </c>
      <c r="F16" s="268" t="s">
        <v>336</v>
      </c>
      <c r="G16" s="268"/>
      <c r="H16" s="268"/>
      <c r="I16" s="268"/>
      <c r="J16" s="268"/>
      <c r="K16" s="268"/>
      <c r="L16" s="268"/>
      <c r="M16" s="268"/>
      <c r="N16" s="268"/>
      <c r="O16" s="268"/>
      <c r="P16" s="326"/>
      <c r="Q16" s="364"/>
    </row>
    <row r="17" spans="1:17" ht="12.75">
      <c r="A17" s="364"/>
      <c r="B17" s="341">
        <v>2</v>
      </c>
      <c r="C17" s="264"/>
      <c r="D17" s="265"/>
      <c r="E17" s="268" t="s">
        <v>330</v>
      </c>
      <c r="F17" s="268" t="s">
        <v>334</v>
      </c>
      <c r="G17" s="268"/>
      <c r="H17" s="268"/>
      <c r="I17" s="268"/>
      <c r="J17" s="268"/>
      <c r="K17" s="268"/>
      <c r="L17" s="268"/>
      <c r="M17" s="268"/>
      <c r="N17" s="268"/>
      <c r="O17" s="268"/>
      <c r="P17" s="326"/>
      <c r="Q17" s="364"/>
    </row>
    <row r="18" spans="1:256" ht="12.75">
      <c r="A18" s="364"/>
      <c r="B18" s="341" t="s">
        <v>382</v>
      </c>
      <c r="C18" s="264"/>
      <c r="D18" s="265"/>
      <c r="E18" s="268" t="s">
        <v>379</v>
      </c>
      <c r="F18" s="268" t="s">
        <v>379</v>
      </c>
      <c r="G18" s="268"/>
      <c r="H18" s="268"/>
      <c r="I18" s="268"/>
      <c r="J18" s="268"/>
      <c r="K18" s="268"/>
      <c r="L18" s="268"/>
      <c r="M18" s="268"/>
      <c r="N18" s="268"/>
      <c r="O18" s="268"/>
      <c r="P18" s="326"/>
      <c r="Q18" s="364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1"/>
      <c r="FF18" s="251"/>
      <c r="FG18" s="251"/>
      <c r="FH18" s="251"/>
      <c r="FI18" s="251"/>
      <c r="FJ18" s="251"/>
      <c r="FK18" s="251"/>
      <c r="FL18" s="251"/>
      <c r="FM18" s="251"/>
      <c r="FN18" s="251"/>
      <c r="FO18" s="251"/>
      <c r="FP18" s="251"/>
      <c r="FQ18" s="251"/>
      <c r="FR18" s="251"/>
      <c r="FS18" s="251"/>
      <c r="FT18" s="251"/>
      <c r="FU18" s="251"/>
      <c r="FV18" s="251"/>
      <c r="FW18" s="251"/>
      <c r="FX18" s="251"/>
      <c r="FY18" s="251"/>
      <c r="FZ18" s="251"/>
      <c r="GA18" s="251"/>
      <c r="GB18" s="251"/>
      <c r="GC18" s="251"/>
      <c r="GD18" s="251"/>
      <c r="GE18" s="251"/>
      <c r="GF18" s="251"/>
      <c r="GG18" s="251"/>
      <c r="GH18" s="251"/>
      <c r="GI18" s="251"/>
      <c r="GJ18" s="251"/>
      <c r="GK18" s="251"/>
      <c r="GL18" s="251"/>
      <c r="GM18" s="251"/>
      <c r="GN18" s="251"/>
      <c r="GO18" s="251"/>
      <c r="GP18" s="251"/>
      <c r="GQ18" s="251"/>
      <c r="GR18" s="251"/>
      <c r="GS18" s="251"/>
      <c r="GT18" s="251"/>
      <c r="GU18" s="251"/>
      <c r="GV18" s="251"/>
      <c r="GW18" s="251"/>
      <c r="GX18" s="251"/>
      <c r="GY18" s="251"/>
      <c r="GZ18" s="251"/>
      <c r="HA18" s="251"/>
      <c r="HB18" s="251"/>
      <c r="HC18" s="251"/>
      <c r="HD18" s="251"/>
      <c r="HE18" s="251"/>
      <c r="HF18" s="251"/>
      <c r="HG18" s="251"/>
      <c r="HH18" s="251"/>
      <c r="HI18" s="251"/>
      <c r="HJ18" s="251"/>
      <c r="HK18" s="251"/>
      <c r="HL18" s="251"/>
      <c r="HM18" s="251"/>
      <c r="HN18" s="251"/>
      <c r="HO18" s="251"/>
      <c r="HP18" s="251"/>
      <c r="HQ18" s="251"/>
      <c r="HR18" s="251"/>
      <c r="HS18" s="251"/>
      <c r="HT18" s="251"/>
      <c r="HU18" s="251"/>
      <c r="HV18" s="251"/>
      <c r="HW18" s="251"/>
      <c r="HX18" s="251"/>
      <c r="HY18" s="251"/>
      <c r="HZ18" s="251"/>
      <c r="IA18" s="251"/>
      <c r="IB18" s="251"/>
      <c r="IC18" s="251"/>
      <c r="ID18" s="251"/>
      <c r="IE18" s="251"/>
      <c r="IF18" s="251"/>
      <c r="IG18" s="251"/>
      <c r="IH18" s="251"/>
      <c r="II18" s="251"/>
      <c r="IJ18" s="251"/>
      <c r="IK18" s="251"/>
      <c r="IL18" s="251"/>
      <c r="IM18" s="251"/>
      <c r="IN18" s="251"/>
      <c r="IO18" s="251"/>
      <c r="IP18" s="251"/>
      <c r="IQ18" s="251"/>
      <c r="IR18" s="251"/>
      <c r="IS18" s="251"/>
      <c r="IT18" s="251"/>
      <c r="IU18" s="251"/>
      <c r="IV18" s="251"/>
    </row>
    <row r="19" spans="1:17" ht="12.75">
      <c r="A19" s="364"/>
      <c r="B19" s="341" t="s">
        <v>324</v>
      </c>
      <c r="C19" s="264"/>
      <c r="D19" s="265"/>
      <c r="E19" s="268" t="s">
        <v>331</v>
      </c>
      <c r="F19" s="268" t="s">
        <v>56</v>
      </c>
      <c r="G19" s="268" t="s">
        <v>384</v>
      </c>
      <c r="H19" s="268" t="s">
        <v>329</v>
      </c>
      <c r="I19" s="268" t="s">
        <v>329</v>
      </c>
      <c r="J19" s="268" t="s">
        <v>329</v>
      </c>
      <c r="K19" s="268" t="s">
        <v>329</v>
      </c>
      <c r="L19" s="268" t="s">
        <v>329</v>
      </c>
      <c r="M19" s="268" t="s">
        <v>329</v>
      </c>
      <c r="N19" s="268" t="s">
        <v>329</v>
      </c>
      <c r="O19" s="268" t="s">
        <v>329</v>
      </c>
      <c r="P19" s="326" t="s">
        <v>329</v>
      </c>
      <c r="Q19" s="364"/>
    </row>
    <row r="20" spans="1:17" ht="12.75">
      <c r="A20" s="364"/>
      <c r="B20" s="341" t="s">
        <v>327</v>
      </c>
      <c r="C20" s="264"/>
      <c r="D20" s="265"/>
      <c r="E20" s="268">
        <v>1800</v>
      </c>
      <c r="F20" s="268">
        <v>1600</v>
      </c>
      <c r="G20" s="268"/>
      <c r="H20" s="268"/>
      <c r="I20" s="268"/>
      <c r="J20" s="268"/>
      <c r="K20" s="268"/>
      <c r="L20" s="268"/>
      <c r="M20" s="268"/>
      <c r="N20" s="268"/>
      <c r="O20" s="268"/>
      <c r="P20" s="326"/>
      <c r="Q20" s="364"/>
    </row>
    <row r="21" spans="1:17" ht="12.75">
      <c r="A21" s="364"/>
      <c r="B21" s="341" t="s">
        <v>396</v>
      </c>
      <c r="C21" s="264"/>
      <c r="D21" s="265"/>
      <c r="E21" s="268">
        <v>18030</v>
      </c>
      <c r="F21" s="268">
        <v>16600</v>
      </c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364"/>
    </row>
    <row r="22" spans="1:17" ht="12.75">
      <c r="A22" s="364"/>
      <c r="B22" s="341" t="s">
        <v>325</v>
      </c>
      <c r="C22" s="264"/>
      <c r="D22" s="265"/>
      <c r="E22" s="268" t="s">
        <v>332</v>
      </c>
      <c r="F22" s="268" t="s">
        <v>336</v>
      </c>
      <c r="G22" s="268"/>
      <c r="H22" s="268"/>
      <c r="I22" s="268"/>
      <c r="J22" s="268"/>
      <c r="K22" s="268"/>
      <c r="L22" s="268"/>
      <c r="M22" s="268"/>
      <c r="N22" s="268"/>
      <c r="O22" s="268"/>
      <c r="P22" s="326"/>
      <c r="Q22" s="364"/>
    </row>
    <row r="23" spans="1:17" ht="12.75">
      <c r="A23" s="364"/>
      <c r="B23" s="341" t="s">
        <v>326</v>
      </c>
      <c r="C23" s="264"/>
      <c r="D23" s="265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326"/>
      <c r="Q23" s="364"/>
    </row>
    <row r="24" spans="1:17" ht="12.75">
      <c r="A24" s="364"/>
      <c r="B24" s="341" t="s">
        <v>392</v>
      </c>
      <c r="C24" s="264"/>
      <c r="D24" s="265"/>
      <c r="E24" s="268" t="s">
        <v>166</v>
      </c>
      <c r="F24" s="268" t="s">
        <v>293</v>
      </c>
      <c r="G24" s="268"/>
      <c r="H24" s="268"/>
      <c r="I24" s="268"/>
      <c r="J24" s="268"/>
      <c r="K24" s="268"/>
      <c r="L24" s="268"/>
      <c r="M24" s="268"/>
      <c r="N24" s="268"/>
      <c r="O24" s="268"/>
      <c r="P24" s="326"/>
      <c r="Q24" s="364"/>
    </row>
    <row r="25" spans="1:17" ht="13.5" thickBot="1">
      <c r="A25" s="364"/>
      <c r="B25" s="344" t="s">
        <v>340</v>
      </c>
      <c r="C25" s="345"/>
      <c r="D25" s="346"/>
      <c r="E25" s="347" t="s">
        <v>317</v>
      </c>
      <c r="F25" s="347" t="s">
        <v>313</v>
      </c>
      <c r="G25" s="347"/>
      <c r="H25" s="348"/>
      <c r="I25" s="348"/>
      <c r="J25" s="348"/>
      <c r="K25" s="348"/>
      <c r="L25" s="348"/>
      <c r="M25" s="348"/>
      <c r="N25" s="348"/>
      <c r="O25" s="348"/>
      <c r="P25" s="349"/>
      <c r="Q25" s="364"/>
    </row>
    <row r="26" spans="1:17" ht="3.75" customHeight="1" thickBot="1">
      <c r="A26" s="364"/>
      <c r="D26" s="266"/>
      <c r="Q26" s="364"/>
    </row>
    <row r="27" spans="1:17" ht="16.5" thickBot="1">
      <c r="A27" s="364"/>
      <c r="B27" s="320" t="s">
        <v>399</v>
      </c>
      <c r="C27" s="321"/>
      <c r="D27" s="322"/>
      <c r="E27" s="323" t="s">
        <v>348</v>
      </c>
      <c r="F27" s="320" t="s">
        <v>162</v>
      </c>
      <c r="G27" s="331" t="s">
        <v>291</v>
      </c>
      <c r="H27" s="320" t="s">
        <v>401</v>
      </c>
      <c r="I27" s="331" t="s">
        <v>422</v>
      </c>
      <c r="J27" s="320" t="s">
        <v>419</v>
      </c>
      <c r="K27" s="331" t="s">
        <v>420</v>
      </c>
      <c r="M27" s="389" t="s">
        <v>470</v>
      </c>
      <c r="N27" s="390"/>
      <c r="O27" s="390"/>
      <c r="P27" s="391"/>
      <c r="Q27" s="364"/>
    </row>
    <row r="28" spans="1:17" ht="12.75">
      <c r="A28" s="364"/>
      <c r="B28" s="324" t="s">
        <v>400</v>
      </c>
      <c r="C28" s="263"/>
      <c r="D28" s="169"/>
      <c r="E28" s="325" t="s">
        <v>348</v>
      </c>
      <c r="F28" s="324" t="s">
        <v>163</v>
      </c>
      <c r="G28" s="332" t="s">
        <v>292</v>
      </c>
      <c r="H28" s="324" t="s">
        <v>161</v>
      </c>
      <c r="I28" s="333" t="s">
        <v>414</v>
      </c>
      <c r="J28" s="324" t="s">
        <v>421</v>
      </c>
      <c r="K28" s="333">
        <v>8008209190</v>
      </c>
      <c r="M28" s="354"/>
      <c r="N28" s="355"/>
      <c r="O28" s="355"/>
      <c r="P28" s="356"/>
      <c r="Q28" s="364"/>
    </row>
    <row r="29" spans="1:17" ht="12.75">
      <c r="A29" s="364"/>
      <c r="B29" s="324" t="s">
        <v>337</v>
      </c>
      <c r="C29" s="263"/>
      <c r="D29" s="267"/>
      <c r="E29" s="325" t="s">
        <v>348</v>
      </c>
      <c r="F29" s="324" t="s">
        <v>159</v>
      </c>
      <c r="G29" s="333" t="s">
        <v>290</v>
      </c>
      <c r="H29" s="324" t="s">
        <v>402</v>
      </c>
      <c r="I29" s="333" t="s">
        <v>415</v>
      </c>
      <c r="J29" s="386" t="s">
        <v>443</v>
      </c>
      <c r="K29" s="387" t="s">
        <v>444</v>
      </c>
      <c r="M29" s="377" t="s">
        <v>471</v>
      </c>
      <c r="N29" s="378"/>
      <c r="O29" s="378"/>
      <c r="P29" s="379"/>
      <c r="Q29" s="364"/>
    </row>
    <row r="30" spans="1:17" ht="12.75">
      <c r="A30" s="364"/>
      <c r="B30" s="324" t="s">
        <v>338</v>
      </c>
      <c r="C30" s="263"/>
      <c r="D30" s="267"/>
      <c r="E30" s="325" t="s">
        <v>348</v>
      </c>
      <c r="F30" s="324" t="s">
        <v>351</v>
      </c>
      <c r="G30" s="333" t="s">
        <v>353</v>
      </c>
      <c r="H30" s="324" t="s">
        <v>403</v>
      </c>
      <c r="I30" s="333" t="s">
        <v>413</v>
      </c>
      <c r="J30" s="386"/>
      <c r="K30" s="387"/>
      <c r="M30" s="354"/>
      <c r="N30" s="355"/>
      <c r="O30" s="355"/>
      <c r="P30" s="356"/>
      <c r="Q30" s="364"/>
    </row>
    <row r="31" spans="1:17" ht="12.75">
      <c r="A31" s="364"/>
      <c r="B31" s="324" t="s">
        <v>339</v>
      </c>
      <c r="C31" s="263"/>
      <c r="D31" s="267"/>
      <c r="E31" s="325">
        <v>3641</v>
      </c>
      <c r="F31" s="324" t="s">
        <v>352</v>
      </c>
      <c r="G31" s="333" t="s">
        <v>354</v>
      </c>
      <c r="H31" s="324" t="s">
        <v>160</v>
      </c>
      <c r="I31" s="335">
        <v>41637</v>
      </c>
      <c r="J31" s="324"/>
      <c r="K31" s="333"/>
      <c r="M31" s="377" t="s">
        <v>472</v>
      </c>
      <c r="N31" s="378"/>
      <c r="O31" s="378"/>
      <c r="P31" s="379"/>
      <c r="Q31" s="364"/>
    </row>
    <row r="32" spans="1:17" ht="12.75">
      <c r="A32" s="364"/>
      <c r="B32" s="324" t="s">
        <v>341</v>
      </c>
      <c r="C32" s="263"/>
      <c r="D32" s="267"/>
      <c r="E32" s="325" t="s">
        <v>349</v>
      </c>
      <c r="F32" s="324" t="s">
        <v>343</v>
      </c>
      <c r="G32" s="333" t="s">
        <v>355</v>
      </c>
      <c r="H32" s="324" t="s">
        <v>404</v>
      </c>
      <c r="I32" s="333" t="s">
        <v>416</v>
      </c>
      <c r="J32" s="324"/>
      <c r="K32" s="333"/>
      <c r="M32" s="354"/>
      <c r="N32" s="355"/>
      <c r="O32" s="355"/>
      <c r="P32" s="356"/>
      <c r="Q32" s="364"/>
    </row>
    <row r="33" spans="1:17" ht="12.75">
      <c r="A33" s="364"/>
      <c r="B33" s="324" t="s">
        <v>176</v>
      </c>
      <c r="C33" s="263"/>
      <c r="D33" s="267"/>
      <c r="E33" s="325" t="s">
        <v>350</v>
      </c>
      <c r="F33" s="324" t="s">
        <v>344</v>
      </c>
      <c r="G33" s="333" t="s">
        <v>356</v>
      </c>
      <c r="H33" s="324" t="s">
        <v>405</v>
      </c>
      <c r="I33" s="333" t="s">
        <v>289</v>
      </c>
      <c r="J33" s="324"/>
      <c r="K33" s="333"/>
      <c r="M33" s="380" t="s">
        <v>473</v>
      </c>
      <c r="N33" s="381"/>
      <c r="O33" s="381"/>
      <c r="P33" s="382"/>
      <c r="Q33" s="364"/>
    </row>
    <row r="34" spans="1:17" ht="12.75">
      <c r="A34" s="364"/>
      <c r="B34" s="324" t="s">
        <v>342</v>
      </c>
      <c r="C34" s="263"/>
      <c r="D34" s="267"/>
      <c r="E34" s="326" t="str">
        <f ca="1">CONCATENATE("EDN.CON / ",YEAR(TODAY())," / ",C5)</f>
        <v>EDN.CON / 2013 / 1</v>
      </c>
      <c r="F34" s="324" t="s">
        <v>345</v>
      </c>
      <c r="G34" s="333" t="s">
        <v>357</v>
      </c>
      <c r="H34" s="324" t="s">
        <v>411</v>
      </c>
      <c r="I34" s="333">
        <v>3</v>
      </c>
      <c r="J34" s="324"/>
      <c r="K34" s="333"/>
      <c r="M34" s="354"/>
      <c r="N34" s="355"/>
      <c r="O34" s="355"/>
      <c r="P34" s="356"/>
      <c r="Q34" s="364"/>
    </row>
    <row r="35" spans="1:17" ht="13.5" thickBot="1">
      <c r="A35" s="364"/>
      <c r="B35" s="327" t="s">
        <v>160</v>
      </c>
      <c r="C35" s="328"/>
      <c r="D35" s="329"/>
      <c r="E35" s="330">
        <v>41644</v>
      </c>
      <c r="F35" s="327" t="s">
        <v>346</v>
      </c>
      <c r="G35" s="334" t="s">
        <v>358</v>
      </c>
      <c r="H35" s="327" t="s">
        <v>438</v>
      </c>
      <c r="I35" s="334" t="s">
        <v>417</v>
      </c>
      <c r="J35" s="327"/>
      <c r="K35" s="334"/>
      <c r="M35" s="383" t="s">
        <v>474</v>
      </c>
      <c r="N35" s="384"/>
      <c r="O35" s="384"/>
      <c r="P35" s="385"/>
      <c r="Q35" s="364"/>
    </row>
    <row r="36" spans="1:17" ht="28.5">
      <c r="A36" s="364"/>
      <c r="B36" s="365" t="s">
        <v>397</v>
      </c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4"/>
    </row>
    <row r="37" ht="5.25" customHeight="1"/>
    <row r="38" spans="1:6" s="253" customFormat="1" ht="15" customHeight="1">
      <c r="A38" s="375" t="s">
        <v>391</v>
      </c>
      <c r="B38" s="375"/>
      <c r="C38" s="375"/>
      <c r="D38" s="375"/>
      <c r="E38" s="375"/>
      <c r="F38" s="375"/>
    </row>
    <row r="39" spans="1:6" s="253" customFormat="1" ht="15" customHeight="1">
      <c r="A39" s="375"/>
      <c r="B39" s="375"/>
      <c r="C39" s="375"/>
      <c r="D39" s="375"/>
      <c r="E39" s="375"/>
      <c r="F39" s="375"/>
    </row>
    <row r="40" spans="1:6" ht="15" customHeight="1">
      <c r="A40" s="376" t="s">
        <v>359</v>
      </c>
      <c r="B40" s="376"/>
      <c r="C40" s="376"/>
      <c r="D40" s="376"/>
      <c r="E40" s="376"/>
      <c r="F40" s="376"/>
    </row>
    <row r="41" spans="1:6" ht="15" customHeight="1">
      <c r="A41" s="254"/>
      <c r="B41" s="255"/>
      <c r="C41" s="255"/>
      <c r="D41" s="256"/>
      <c r="E41" s="257"/>
      <c r="F41" s="257"/>
    </row>
    <row r="42" spans="1:6" ht="15" customHeight="1">
      <c r="A42" s="254">
        <v>1</v>
      </c>
      <c r="B42" s="255" t="s">
        <v>360</v>
      </c>
      <c r="C42" s="255"/>
      <c r="D42" s="256"/>
      <c r="E42" s="369" t="str">
        <f>HLOOKUP($C$5,$E$5:$P$25,8,FALSE)</f>
        <v>G.SRI SPANDANA</v>
      </c>
      <c r="F42" s="369"/>
    </row>
    <row r="43" spans="1:6" ht="6" customHeight="1">
      <c r="A43" s="254"/>
      <c r="B43" s="255"/>
      <c r="C43" s="255"/>
      <c r="D43" s="256"/>
      <c r="E43" s="257"/>
      <c r="F43" s="257"/>
    </row>
    <row r="44" spans="1:6" ht="24.75" customHeight="1">
      <c r="A44" s="258" t="s">
        <v>361</v>
      </c>
      <c r="B44" s="370" t="s">
        <v>374</v>
      </c>
      <c r="C44" s="370"/>
      <c r="D44" s="256" t="s">
        <v>178</v>
      </c>
      <c r="E44" s="369" t="str">
        <f>HLOOKUP($C$5,$E$5:$P$25,10,FALSE)</f>
        <v>IX</v>
      </c>
      <c r="F44" s="369"/>
    </row>
    <row r="45" spans="1:6" ht="6" customHeight="1">
      <c r="A45" s="254"/>
      <c r="B45" s="255"/>
      <c r="C45" s="255"/>
      <c r="D45" s="256"/>
      <c r="E45" s="257"/>
      <c r="F45" s="257"/>
    </row>
    <row r="46" spans="1:6" ht="24.75" customHeight="1">
      <c r="A46" s="258" t="s">
        <v>362</v>
      </c>
      <c r="B46" s="370" t="s">
        <v>375</v>
      </c>
      <c r="C46" s="370"/>
      <c r="D46" s="256" t="s">
        <v>178</v>
      </c>
      <c r="E46" s="369" t="s">
        <v>363</v>
      </c>
      <c r="F46" s="369"/>
    </row>
    <row r="47" spans="1:6" ht="6" customHeight="1">
      <c r="A47" s="254"/>
      <c r="B47" s="255"/>
      <c r="C47" s="255"/>
      <c r="D47" s="256"/>
      <c r="E47" s="257"/>
      <c r="F47" s="257"/>
    </row>
    <row r="48" spans="1:6" ht="15" customHeight="1">
      <c r="A48" s="254">
        <v>3</v>
      </c>
      <c r="B48" s="368" t="s">
        <v>376</v>
      </c>
      <c r="C48" s="368"/>
      <c r="D48" s="256" t="s">
        <v>178</v>
      </c>
      <c r="E48" s="369" t="str">
        <f>HLOOKUP($C$5,$E$5:$P$25,2,FALSE)</f>
        <v>G.SRINIVASULU</v>
      </c>
      <c r="F48" s="369"/>
    </row>
    <row r="49" spans="1:6" ht="6" customHeight="1">
      <c r="A49" s="254"/>
      <c r="B49" s="255"/>
      <c r="C49" s="255"/>
      <c r="D49" s="256"/>
      <c r="E49" s="257"/>
      <c r="F49" s="257"/>
    </row>
    <row r="50" spans="1:6" ht="49.5" customHeight="1">
      <c r="A50" s="258">
        <v>4</v>
      </c>
      <c r="B50" s="370" t="s">
        <v>377</v>
      </c>
      <c r="C50" s="370"/>
      <c r="D50" s="256" t="s">
        <v>178</v>
      </c>
      <c r="E50" s="371" t="str">
        <f>CONCATENATE(HLOOKUP($C$5,$E$5:$P$25,2,FALSE),", ",HLOOKUP($C$5,$E$5:$P$25,4,FALSE),", ","Department of School Education")</f>
        <v>G.SRINIVASULU, S.A(P.S), Department of School Education</v>
      </c>
      <c r="F50" s="371"/>
    </row>
    <row r="51" spans="1:6" ht="6" customHeight="1">
      <c r="A51" s="254"/>
      <c r="B51" s="255"/>
      <c r="C51" s="255"/>
      <c r="D51" s="256"/>
      <c r="E51" s="257"/>
      <c r="F51" s="257"/>
    </row>
    <row r="52" spans="1:6" ht="15" customHeight="1">
      <c r="A52" s="254">
        <v>5</v>
      </c>
      <c r="B52" s="255" t="s">
        <v>364</v>
      </c>
      <c r="C52" s="255"/>
      <c r="D52" s="256" t="s">
        <v>178</v>
      </c>
      <c r="E52" s="369">
        <f>HLOOKUP($C$5,$E$5:$P$25,16,FALSE)</f>
        <v>1800</v>
      </c>
      <c r="F52" s="369"/>
    </row>
    <row r="53" spans="1:6" ht="6" customHeight="1">
      <c r="A53" s="254"/>
      <c r="B53" s="255"/>
      <c r="C53" s="255"/>
      <c r="D53" s="256"/>
      <c r="E53" s="257"/>
      <c r="F53" s="257"/>
    </row>
    <row r="54" spans="1:6" ht="15" customHeight="1">
      <c r="A54" s="254">
        <v>6</v>
      </c>
      <c r="B54" s="255" t="s">
        <v>394</v>
      </c>
      <c r="C54" s="255"/>
      <c r="D54" s="256" t="s">
        <v>178</v>
      </c>
      <c r="E54" s="369">
        <v>0</v>
      </c>
      <c r="F54" s="369"/>
    </row>
    <row r="55" spans="1:6" ht="6" customHeight="1">
      <c r="A55" s="254"/>
      <c r="B55" s="255"/>
      <c r="C55" s="255"/>
      <c r="D55" s="256"/>
      <c r="E55" s="257"/>
      <c r="F55" s="257"/>
    </row>
    <row r="56" spans="1:6" ht="15" customHeight="1">
      <c r="A56" s="254">
        <v>7</v>
      </c>
      <c r="B56" s="255" t="s">
        <v>365</v>
      </c>
      <c r="C56" s="255"/>
      <c r="D56" s="256" t="s">
        <v>178</v>
      </c>
      <c r="E56" s="369" t="s">
        <v>366</v>
      </c>
      <c r="F56" s="369"/>
    </row>
    <row r="57" spans="1:6" ht="6" customHeight="1">
      <c r="A57" s="254"/>
      <c r="B57" s="255"/>
      <c r="C57" s="255"/>
      <c r="D57" s="256"/>
      <c r="E57" s="257"/>
      <c r="F57" s="257"/>
    </row>
    <row r="58" spans="1:6" ht="15" customHeight="1">
      <c r="A58" s="254"/>
      <c r="B58" s="255"/>
      <c r="C58" s="255"/>
      <c r="D58" s="256"/>
      <c r="E58" s="257"/>
      <c r="F58" s="257"/>
    </row>
    <row r="59" spans="1:6" ht="15" customHeight="1">
      <c r="A59" s="254"/>
      <c r="B59" s="255"/>
      <c r="C59" s="255"/>
      <c r="D59" s="256"/>
      <c r="E59" s="257"/>
      <c r="F59" s="257"/>
    </row>
    <row r="60" spans="1:6" ht="15" customHeight="1">
      <c r="A60" s="254"/>
      <c r="B60" s="255" t="str">
        <f>CONCATENATE("Station: ",HLOOKUP($C$5,$E$5:$P$25,6,FALSE))</f>
        <v>Station: MANGINAPUDI</v>
      </c>
      <c r="C60" s="255"/>
      <c r="D60" s="256"/>
      <c r="E60" s="257"/>
      <c r="F60" s="259" t="s">
        <v>367</v>
      </c>
    </row>
    <row r="61" spans="1:6" ht="6" customHeight="1">
      <c r="A61" s="254"/>
      <c r="B61" s="255"/>
      <c r="C61" s="255"/>
      <c r="D61" s="256"/>
      <c r="E61" s="257"/>
      <c r="F61" s="257"/>
    </row>
    <row r="62" spans="1:6" ht="15" customHeight="1">
      <c r="A62" s="254"/>
      <c r="B62" s="255" t="s">
        <v>150</v>
      </c>
      <c r="C62" s="255"/>
      <c r="D62" s="256"/>
      <c r="E62" s="257"/>
      <c r="F62" s="257"/>
    </row>
    <row r="63" spans="1:6" ht="6" customHeight="1">
      <c r="A63" s="254"/>
      <c r="B63" s="255"/>
      <c r="C63" s="255"/>
      <c r="D63" s="256"/>
      <c r="E63" s="257"/>
      <c r="F63" s="257"/>
    </row>
    <row r="64" spans="1:6" ht="15" customHeight="1">
      <c r="A64" s="366" t="s">
        <v>368</v>
      </c>
      <c r="B64" s="366"/>
      <c r="C64" s="366"/>
      <c r="D64" s="366"/>
      <c r="E64" s="366"/>
      <c r="F64" s="366"/>
    </row>
    <row r="65" spans="1:6" ht="49.5" customHeight="1">
      <c r="A65" s="254"/>
      <c r="B65" s="367" t="str">
        <f>CONCATENATE("                   I hereby certify that the person shown against column No.3 of application is working at ",HLOOKUP($C$5,$E$5:$P$25,5,FALSE),", ",HLOOKUP($C$5,$E$5:$P$25,6,FALSE)," and was in service till the end of the school year.")</f>
        <v>                   I hereby certify that the person shown against column No.3 of application is working at Z. P. H. SCHOOL, MANGINAPUDI and was in service till the end of the school year.</v>
      </c>
      <c r="C65" s="367"/>
      <c r="D65" s="367"/>
      <c r="E65" s="367"/>
      <c r="F65" s="367"/>
    </row>
    <row r="66" spans="1:6" ht="15" customHeight="1">
      <c r="A66" s="254"/>
      <c r="B66" s="255"/>
      <c r="C66" s="255"/>
      <c r="D66" s="256"/>
      <c r="E66" s="257"/>
      <c r="F66" s="257"/>
    </row>
    <row r="67" spans="1:6" ht="15" customHeight="1">
      <c r="A67" s="254"/>
      <c r="B67" s="255" t="str">
        <f>CONCATENATE("Station: ",HLOOKUP($C$5,$E$5:$P$25,6,FALSE))</f>
        <v>Station: MANGINAPUDI</v>
      </c>
      <c r="C67" s="255"/>
      <c r="D67" s="256"/>
      <c r="E67" s="257"/>
      <c r="F67" s="257"/>
    </row>
    <row r="68" spans="1:6" ht="6" customHeight="1">
      <c r="A68" s="254"/>
      <c r="B68" s="255"/>
      <c r="C68" s="255"/>
      <c r="D68" s="256"/>
      <c r="E68" s="257"/>
      <c r="F68" s="257"/>
    </row>
    <row r="69" spans="1:6" ht="15" customHeight="1">
      <c r="A69" s="254"/>
      <c r="B69" s="255" t="s">
        <v>150</v>
      </c>
      <c r="C69" s="255"/>
      <c r="D69" s="256"/>
      <c r="E69" s="373" t="s">
        <v>369</v>
      </c>
      <c r="F69" s="373"/>
    </row>
    <row r="70" spans="1:6" ht="6" customHeight="1">
      <c r="A70" s="254"/>
      <c r="B70" s="255"/>
      <c r="C70" s="255"/>
      <c r="D70" s="256"/>
      <c r="E70" s="257"/>
      <c r="F70" s="257"/>
    </row>
    <row r="71" spans="1:6" ht="15" customHeight="1">
      <c r="A71" s="366" t="s">
        <v>370</v>
      </c>
      <c r="B71" s="366"/>
      <c r="C71" s="366"/>
      <c r="D71" s="366"/>
      <c r="E71" s="366"/>
      <c r="F71" s="366"/>
    </row>
    <row r="72" spans="1:6" ht="6" customHeight="1">
      <c r="A72" s="254"/>
      <c r="B72" s="255"/>
      <c r="C72" s="255"/>
      <c r="D72" s="256"/>
      <c r="E72" s="257"/>
      <c r="F72" s="257"/>
    </row>
    <row r="73" spans="1:6" ht="15" customHeight="1">
      <c r="A73" s="254"/>
      <c r="B73" s="374" t="s">
        <v>371</v>
      </c>
      <c r="C73" s="374"/>
      <c r="D73" s="374"/>
      <c r="E73" s="374"/>
      <c r="F73" s="374"/>
    </row>
    <row r="74" spans="1:6" ht="15" customHeight="1">
      <c r="A74" s="254"/>
      <c r="B74" s="255"/>
      <c r="C74" s="255"/>
      <c r="D74" s="256"/>
      <c r="E74" s="257"/>
      <c r="F74" s="257"/>
    </row>
    <row r="75" spans="1:6" ht="15" customHeight="1">
      <c r="A75" s="254"/>
      <c r="B75" s="255" t="str">
        <f>CONCATENATE("Station: ",HLOOKUP($C$5,$E$5:$P$25,6,FALSE))</f>
        <v>Station: MANGINAPUDI</v>
      </c>
      <c r="C75" s="255"/>
      <c r="D75" s="256"/>
      <c r="E75" s="257"/>
      <c r="F75" s="257"/>
    </row>
    <row r="76" spans="1:6" ht="6" customHeight="1">
      <c r="A76" s="254"/>
      <c r="B76" s="255"/>
      <c r="C76" s="255"/>
      <c r="D76" s="256"/>
      <c r="E76" s="257"/>
      <c r="F76" s="257"/>
    </row>
    <row r="77" spans="1:6" ht="15" customHeight="1">
      <c r="A77" s="254"/>
      <c r="B77" s="255" t="s">
        <v>150</v>
      </c>
      <c r="C77" s="255"/>
      <c r="D77" s="256"/>
      <c r="E77" s="257"/>
      <c r="F77" s="259" t="s">
        <v>372</v>
      </c>
    </row>
    <row r="78" spans="1:6" ht="6" customHeight="1">
      <c r="A78" s="254"/>
      <c r="B78" s="255"/>
      <c r="C78" s="255"/>
      <c r="D78" s="256"/>
      <c r="E78" s="257"/>
      <c r="F78" s="257"/>
    </row>
    <row r="79" spans="1:6" ht="15" customHeight="1">
      <c r="A79" s="366" t="s">
        <v>158</v>
      </c>
      <c r="B79" s="366"/>
      <c r="C79" s="366"/>
      <c r="D79" s="366"/>
      <c r="E79" s="366"/>
      <c r="F79" s="366"/>
    </row>
    <row r="80" spans="1:6" ht="6" customHeight="1">
      <c r="A80" s="254"/>
      <c r="B80" s="255"/>
      <c r="C80" s="255"/>
      <c r="D80" s="256"/>
      <c r="E80" s="257"/>
      <c r="F80" s="257"/>
    </row>
    <row r="81" spans="1:6" ht="54.75" customHeight="1">
      <c r="A81" s="254"/>
      <c r="B81" s="367" t="str">
        <f>CONCATENATE("           Certified that ",HLOOKUP($C$5,$E$5:$P$25,8,FALSE),", ",VLOOKUP(HLOOKUP($C$5,$E$5:$P$25,9,FALSE),B96:C99,2,FALSE)," ",HLOOKUP($C$5,$E$5:$P$25,2,FALSE)," studied class ",VLOOKUP(HLOOKUP($C$5,$E$5:$P$25,10,FALSE),$B$101:$C$110,2,FALSE)," during the academic year ",K29," and paid tution fees of Rs. ",HLOOKUP($C$5,$E$5:$P$25,11,FALSE)," per month. Also the school was recognised by state govt of Andhra Pradesh as per Rc.No: ",HLOOKUP($C$5,$E$5:$P$25,19,FALSE))</f>
        <v>           Certified that G.SRI SPANDANA, D/O G.SRINIVASULU studied class VIII during the academic year 2012-13 and paid tution fees of Rs. 2000 per month. Also the school was recognised by state govt of Andhra Pradesh as per Rc.No: </v>
      </c>
      <c r="C81" s="367"/>
      <c r="D81" s="367"/>
      <c r="E81" s="367"/>
      <c r="F81" s="367"/>
    </row>
    <row r="82" spans="1:6" ht="6" customHeight="1">
      <c r="A82" s="254"/>
      <c r="B82" s="255"/>
      <c r="C82" s="255"/>
      <c r="D82" s="256"/>
      <c r="E82" s="257"/>
      <c r="F82" s="257"/>
    </row>
    <row r="83" spans="1:6" ht="24.75" customHeight="1">
      <c r="A83" s="254"/>
      <c r="B83" s="370" t="s">
        <v>393</v>
      </c>
      <c r="C83" s="370"/>
      <c r="D83" s="370"/>
      <c r="E83" s="370"/>
      <c r="F83" s="370"/>
    </row>
    <row r="84" spans="1:6" ht="15" customHeight="1">
      <c r="A84" s="254"/>
      <c r="B84" s="255"/>
      <c r="C84" s="255"/>
      <c r="D84" s="256"/>
      <c r="E84" s="257"/>
      <c r="F84" s="257"/>
    </row>
    <row r="85" spans="1:6" ht="15" customHeight="1">
      <c r="A85" s="254"/>
      <c r="B85" s="255" t="str">
        <f>CONCATENATE("Station: ",HLOOKUP($C$5,$E$5:$P$25,19,FALSE))</f>
        <v>Station: </v>
      </c>
      <c r="C85" s="255"/>
      <c r="D85" s="256"/>
      <c r="E85" s="257"/>
      <c r="F85" s="257"/>
    </row>
    <row r="86" spans="1:6" ht="15" customHeight="1">
      <c r="A86" s="254"/>
      <c r="B86" s="255" t="s">
        <v>150</v>
      </c>
      <c r="C86" s="255"/>
      <c r="D86" s="256"/>
      <c r="E86" s="257"/>
      <c r="F86" s="259" t="s">
        <v>373</v>
      </c>
    </row>
    <row r="87" spans="1:6" ht="18" customHeight="1">
      <c r="A87" s="254"/>
      <c r="B87" s="255"/>
      <c r="C87" s="255"/>
      <c r="D87" s="256"/>
      <c r="E87" s="257"/>
      <c r="F87" s="257"/>
    </row>
    <row r="88" spans="1:6" ht="15" customHeight="1" hidden="1">
      <c r="A88" s="254"/>
      <c r="B88" s="255"/>
      <c r="C88" s="255"/>
      <c r="D88" s="256"/>
      <c r="E88" s="257"/>
      <c r="F88" s="257"/>
    </row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>
      <c r="E95" s="252" t="s">
        <v>422</v>
      </c>
    </row>
    <row r="96" spans="2:6" ht="15" customHeight="1" hidden="1">
      <c r="B96" s="260" t="s">
        <v>378</v>
      </c>
      <c r="C96" s="260" t="s">
        <v>389</v>
      </c>
      <c r="E96" s="252" t="s">
        <v>439</v>
      </c>
      <c r="F96" s="252" t="s">
        <v>407</v>
      </c>
    </row>
    <row r="97" spans="2:6" ht="15" customHeight="1" hidden="1">
      <c r="B97" s="260" t="s">
        <v>379</v>
      </c>
      <c r="C97" s="260" t="s">
        <v>389</v>
      </c>
      <c r="E97" s="252" t="s">
        <v>406</v>
      </c>
      <c r="F97" s="252" t="s">
        <v>408</v>
      </c>
    </row>
    <row r="98" spans="2:3" ht="15" customHeight="1" hidden="1">
      <c r="B98" s="260" t="s">
        <v>380</v>
      </c>
      <c r="C98" s="260" t="s">
        <v>390</v>
      </c>
    </row>
    <row r="99" spans="2:3" ht="15" customHeight="1" hidden="1">
      <c r="B99" s="260" t="s">
        <v>381</v>
      </c>
      <c r="C99" s="260" t="s">
        <v>390</v>
      </c>
    </row>
    <row r="100" ht="15" customHeight="1" hidden="1"/>
    <row r="101" spans="2:3" ht="15" customHeight="1" hidden="1">
      <c r="B101" s="260" t="s">
        <v>347</v>
      </c>
      <c r="C101" s="260" t="s">
        <v>388</v>
      </c>
    </row>
    <row r="102" spans="2:3" ht="15" customHeight="1" hidden="1">
      <c r="B102" s="260" t="s">
        <v>383</v>
      </c>
      <c r="C102" s="260" t="s">
        <v>347</v>
      </c>
    </row>
    <row r="103" spans="2:3" ht="15" customHeight="1" hidden="1">
      <c r="B103" s="260" t="s">
        <v>331</v>
      </c>
      <c r="C103" s="260" t="s">
        <v>383</v>
      </c>
    </row>
    <row r="104" spans="2:3" ht="15" customHeight="1" hidden="1">
      <c r="B104" s="260" t="s">
        <v>384</v>
      </c>
      <c r="C104" s="260" t="s">
        <v>331</v>
      </c>
    </row>
    <row r="105" spans="2:3" ht="15" customHeight="1" hidden="1">
      <c r="B105" s="260" t="s">
        <v>56</v>
      </c>
      <c r="C105" s="260" t="s">
        <v>384</v>
      </c>
    </row>
    <row r="106" spans="2:3" ht="15" customHeight="1" hidden="1">
      <c r="B106" s="260" t="s">
        <v>385</v>
      </c>
      <c r="C106" s="260" t="s">
        <v>56</v>
      </c>
    </row>
    <row r="107" spans="2:3" ht="15" customHeight="1" hidden="1">
      <c r="B107" s="260" t="s">
        <v>335</v>
      </c>
      <c r="C107" s="260" t="s">
        <v>385</v>
      </c>
    </row>
    <row r="108" spans="2:3" ht="15" customHeight="1" hidden="1">
      <c r="B108" s="260" t="s">
        <v>386</v>
      </c>
      <c r="C108" s="260" t="s">
        <v>335</v>
      </c>
    </row>
    <row r="109" spans="2:3" ht="15" customHeight="1" hidden="1">
      <c r="B109" s="260" t="s">
        <v>329</v>
      </c>
      <c r="C109" s="260" t="s">
        <v>386</v>
      </c>
    </row>
    <row r="110" spans="2:3" ht="15" customHeight="1" hidden="1">
      <c r="B110" s="260" t="s">
        <v>387</v>
      </c>
      <c r="C110" s="260" t="s">
        <v>329</v>
      </c>
    </row>
    <row r="111" ht="20.25" customHeight="1" hidden="1"/>
    <row r="112" spans="1:6" ht="15" customHeight="1">
      <c r="A112" s="375" t="s">
        <v>391</v>
      </c>
      <c r="B112" s="375"/>
      <c r="C112" s="375"/>
      <c r="D112" s="375"/>
      <c r="E112" s="375"/>
      <c r="F112" s="375"/>
    </row>
    <row r="113" spans="1:6" ht="15" customHeight="1">
      <c r="A113" s="375"/>
      <c r="B113" s="375"/>
      <c r="C113" s="375"/>
      <c r="D113" s="375"/>
      <c r="E113" s="375"/>
      <c r="F113" s="375"/>
    </row>
    <row r="114" spans="1:6" ht="15" customHeight="1">
      <c r="A114" s="376" t="s">
        <v>359</v>
      </c>
      <c r="B114" s="376"/>
      <c r="C114" s="376"/>
      <c r="D114" s="376"/>
      <c r="E114" s="376"/>
      <c r="F114" s="376"/>
    </row>
    <row r="115" spans="1:6" ht="15" customHeight="1">
      <c r="A115" s="254"/>
      <c r="B115" s="255"/>
      <c r="C115" s="255"/>
      <c r="D115" s="256"/>
      <c r="E115" s="257"/>
      <c r="F115" s="257"/>
    </row>
    <row r="116" spans="1:6" ht="15" customHeight="1">
      <c r="A116" s="254">
        <v>1</v>
      </c>
      <c r="B116" s="255" t="s">
        <v>360</v>
      </c>
      <c r="C116" s="255"/>
      <c r="D116" s="256"/>
      <c r="E116" s="369" t="str">
        <f>HLOOKUP($C$5,$E$5:$P$25,12,FALSE)</f>
        <v>LAKSHMI HIGH SCHOOL</v>
      </c>
      <c r="F116" s="369"/>
    </row>
    <row r="117" spans="1:6" ht="6" customHeight="1">
      <c r="A117" s="254"/>
      <c r="B117" s="255"/>
      <c r="C117" s="255"/>
      <c r="D117" s="256"/>
      <c r="E117" s="257"/>
      <c r="F117" s="257"/>
    </row>
    <row r="118" spans="1:6" ht="24.75" customHeight="1">
      <c r="A118" s="258" t="s">
        <v>361</v>
      </c>
      <c r="B118" s="370" t="s">
        <v>374</v>
      </c>
      <c r="C118" s="370"/>
      <c r="D118" s="256" t="s">
        <v>178</v>
      </c>
      <c r="E118" s="369" t="str">
        <f>HLOOKUP($C$5,$E$5:$P$25,14,FALSE)</f>
        <v>SECOND DAUGHTER</v>
      </c>
      <c r="F118" s="369"/>
    </row>
    <row r="119" spans="1:6" ht="6" customHeight="1">
      <c r="A119" s="254"/>
      <c r="B119" s="255"/>
      <c r="C119" s="255"/>
      <c r="D119" s="256"/>
      <c r="E119" s="257"/>
      <c r="F119" s="257"/>
    </row>
    <row r="120" spans="1:6" ht="24.75" customHeight="1">
      <c r="A120" s="258" t="s">
        <v>362</v>
      </c>
      <c r="B120" s="370" t="s">
        <v>375</v>
      </c>
      <c r="C120" s="370"/>
      <c r="D120" s="256" t="s">
        <v>178</v>
      </c>
      <c r="E120" s="369" t="s">
        <v>363</v>
      </c>
      <c r="F120" s="369"/>
    </row>
    <row r="121" spans="1:6" ht="6" customHeight="1">
      <c r="A121" s="254"/>
      <c r="B121" s="255"/>
      <c r="C121" s="255"/>
      <c r="D121" s="256"/>
      <c r="E121" s="257"/>
      <c r="F121" s="257"/>
    </row>
    <row r="122" spans="1:6" ht="15" customHeight="1">
      <c r="A122" s="254">
        <v>3</v>
      </c>
      <c r="B122" s="368" t="s">
        <v>376</v>
      </c>
      <c r="C122" s="368"/>
      <c r="D122" s="256" t="s">
        <v>178</v>
      </c>
      <c r="E122" s="369" t="str">
        <f>HLOOKUP($C$5,$E$5:$P$25,2,FALSE)</f>
        <v>G.SRINIVASULU</v>
      </c>
      <c r="F122" s="369"/>
    </row>
    <row r="123" spans="1:6" ht="6" customHeight="1">
      <c r="A123" s="254"/>
      <c r="B123" s="255"/>
      <c r="C123" s="255"/>
      <c r="D123" s="256"/>
      <c r="E123" s="257"/>
      <c r="F123" s="257"/>
    </row>
    <row r="124" spans="1:6" ht="49.5" customHeight="1">
      <c r="A124" s="258">
        <v>4</v>
      </c>
      <c r="B124" s="370" t="s">
        <v>377</v>
      </c>
      <c r="C124" s="370"/>
      <c r="D124" s="256" t="s">
        <v>178</v>
      </c>
      <c r="E124" s="371" t="str">
        <f>CONCATENATE(HLOOKUP($C$5,$E$5:$P$25,2,FALSE),", ",HLOOKUP($C$5,$E$5:$P$25,4,FALSE),", ","Department of School Education")</f>
        <v>G.SRINIVASULU, S.A(P.S), Department of School Education</v>
      </c>
      <c r="F124" s="371"/>
    </row>
    <row r="125" spans="1:6" ht="6" customHeight="1">
      <c r="A125" s="254"/>
      <c r="B125" s="255"/>
      <c r="C125" s="255"/>
      <c r="D125" s="256"/>
      <c r="E125" s="257"/>
      <c r="F125" s="257"/>
    </row>
    <row r="126" spans="1:6" ht="15" customHeight="1">
      <c r="A126" s="254">
        <v>5</v>
      </c>
      <c r="B126" s="255" t="s">
        <v>364</v>
      </c>
      <c r="C126" s="255"/>
      <c r="D126" s="256" t="s">
        <v>178</v>
      </c>
      <c r="E126" s="369">
        <f>HLOOKUP($C$5,$E$5:$P$25,17,FALSE)</f>
        <v>18030</v>
      </c>
      <c r="F126" s="369"/>
    </row>
    <row r="127" spans="1:6" ht="6" customHeight="1">
      <c r="A127" s="254"/>
      <c r="B127" s="255"/>
      <c r="C127" s="255"/>
      <c r="D127" s="256"/>
      <c r="E127" s="257"/>
      <c r="F127" s="257"/>
    </row>
    <row r="128" spans="1:6" ht="15" customHeight="1">
      <c r="A128" s="254">
        <v>6</v>
      </c>
      <c r="B128" s="255" t="s">
        <v>394</v>
      </c>
      <c r="C128" s="255"/>
      <c r="D128" s="256" t="s">
        <v>178</v>
      </c>
      <c r="E128" s="369">
        <v>0</v>
      </c>
      <c r="F128" s="369"/>
    </row>
    <row r="129" spans="1:6" ht="6" customHeight="1">
      <c r="A129" s="254"/>
      <c r="B129" s="255"/>
      <c r="C129" s="255"/>
      <c r="D129" s="256"/>
      <c r="E129" s="257"/>
      <c r="F129" s="257"/>
    </row>
    <row r="130" spans="1:6" ht="15" customHeight="1">
      <c r="A130" s="254">
        <v>7</v>
      </c>
      <c r="B130" s="255" t="s">
        <v>365</v>
      </c>
      <c r="C130" s="255"/>
      <c r="D130" s="256" t="s">
        <v>178</v>
      </c>
      <c r="E130" s="369" t="s">
        <v>366</v>
      </c>
      <c r="F130" s="369"/>
    </row>
    <row r="131" spans="1:6" ht="6" customHeight="1">
      <c r="A131" s="254"/>
      <c r="B131" s="255"/>
      <c r="C131" s="255"/>
      <c r="D131" s="256"/>
      <c r="E131" s="257"/>
      <c r="F131" s="257"/>
    </row>
    <row r="132" spans="1:6" ht="15" customHeight="1">
      <c r="A132" s="254"/>
      <c r="B132" s="255"/>
      <c r="C132" s="255"/>
      <c r="D132" s="256"/>
      <c r="E132" s="257"/>
      <c r="F132" s="257"/>
    </row>
    <row r="133" spans="1:6" ht="15" customHeight="1">
      <c r="A133" s="254"/>
      <c r="B133" s="255"/>
      <c r="C133" s="255"/>
      <c r="D133" s="256"/>
      <c r="E133" s="257"/>
      <c r="F133" s="257"/>
    </row>
    <row r="134" spans="1:6" ht="15" customHeight="1">
      <c r="A134" s="254"/>
      <c r="B134" s="255" t="str">
        <f>CONCATENATE("Station: ",HLOOKUP($C$5,$E$5:$P$25,6,FALSE))</f>
        <v>Station: MANGINAPUDI</v>
      </c>
      <c r="C134" s="255"/>
      <c r="D134" s="256"/>
      <c r="E134" s="257"/>
      <c r="F134" s="259" t="s">
        <v>367</v>
      </c>
    </row>
    <row r="135" spans="1:6" ht="6" customHeight="1">
      <c r="A135" s="254"/>
      <c r="B135" s="255"/>
      <c r="C135" s="255"/>
      <c r="D135" s="256"/>
      <c r="E135" s="257"/>
      <c r="F135" s="257"/>
    </row>
    <row r="136" spans="1:6" ht="15" customHeight="1">
      <c r="A136" s="254"/>
      <c r="B136" s="255" t="s">
        <v>150</v>
      </c>
      <c r="C136" s="255"/>
      <c r="D136" s="256"/>
      <c r="E136" s="257"/>
      <c r="F136" s="257"/>
    </row>
    <row r="137" spans="1:6" ht="6" customHeight="1">
      <c r="A137" s="254"/>
      <c r="B137" s="255"/>
      <c r="C137" s="255"/>
      <c r="D137" s="256"/>
      <c r="E137" s="257"/>
      <c r="F137" s="257"/>
    </row>
    <row r="138" spans="1:6" ht="15" customHeight="1">
      <c r="A138" s="372" t="s">
        <v>368</v>
      </c>
      <c r="B138" s="372"/>
      <c r="C138" s="372"/>
      <c r="D138" s="372"/>
      <c r="E138" s="372"/>
      <c r="F138" s="372"/>
    </row>
    <row r="139" spans="1:6" ht="49.5" customHeight="1">
      <c r="A139" s="254"/>
      <c r="B139" s="367" t="str">
        <f>CONCATENATE("                   I hereby certify that the person shown against column No.3 of application is working at ",HLOOKUP($C$5,$E$5:$P$25,5,FALSE),", ",HLOOKUP($C$5,$E$5:$P$25,6,FALSE)," and was in service till the end of the school year.")</f>
        <v>                   I hereby certify that the person shown against column No.3 of application is working at Z. P. H. SCHOOL, MANGINAPUDI and was in service till the end of the school year.</v>
      </c>
      <c r="C139" s="367"/>
      <c r="D139" s="367"/>
      <c r="E139" s="367"/>
      <c r="F139" s="367"/>
    </row>
    <row r="140" spans="1:6" ht="15" customHeight="1">
      <c r="A140" s="254"/>
      <c r="B140" s="255"/>
      <c r="C140" s="255"/>
      <c r="D140" s="256"/>
      <c r="E140" s="257"/>
      <c r="F140" s="257"/>
    </row>
    <row r="141" spans="1:6" ht="15" customHeight="1">
      <c r="A141" s="254"/>
      <c r="B141" s="255" t="str">
        <f>CONCATENATE("Station: ",HLOOKUP($C$5,$E$5:$P$25,6,FALSE))</f>
        <v>Station: MANGINAPUDI</v>
      </c>
      <c r="C141" s="255"/>
      <c r="D141" s="256"/>
      <c r="E141" s="257"/>
      <c r="F141" s="257"/>
    </row>
    <row r="142" spans="1:6" ht="6" customHeight="1">
      <c r="A142" s="254"/>
      <c r="B142" s="255"/>
      <c r="C142" s="255"/>
      <c r="D142" s="256"/>
      <c r="E142" s="257"/>
      <c r="F142" s="257"/>
    </row>
    <row r="143" spans="1:6" ht="15" customHeight="1">
      <c r="A143" s="254"/>
      <c r="B143" s="255" t="s">
        <v>150</v>
      </c>
      <c r="C143" s="255"/>
      <c r="D143" s="256"/>
      <c r="E143" s="373" t="s">
        <v>369</v>
      </c>
      <c r="F143" s="373"/>
    </row>
    <row r="144" spans="1:6" ht="6" customHeight="1">
      <c r="A144" s="254"/>
      <c r="B144" s="255"/>
      <c r="C144" s="255"/>
      <c r="D144" s="256"/>
      <c r="E144" s="257"/>
      <c r="F144" s="257"/>
    </row>
    <row r="145" spans="1:6" ht="15" customHeight="1">
      <c r="A145" s="366" t="s">
        <v>370</v>
      </c>
      <c r="B145" s="366"/>
      <c r="C145" s="366"/>
      <c r="D145" s="366"/>
      <c r="E145" s="366"/>
      <c r="F145" s="366"/>
    </row>
    <row r="146" spans="1:6" ht="6" customHeight="1">
      <c r="A146" s="254"/>
      <c r="B146" s="255"/>
      <c r="C146" s="255"/>
      <c r="D146" s="256"/>
      <c r="E146" s="257"/>
      <c r="F146" s="257"/>
    </row>
    <row r="147" spans="1:6" ht="15" customHeight="1">
      <c r="A147" s="254"/>
      <c r="B147" s="374" t="s">
        <v>371</v>
      </c>
      <c r="C147" s="374"/>
      <c r="D147" s="374"/>
      <c r="E147" s="374"/>
      <c r="F147" s="374"/>
    </row>
    <row r="148" spans="1:6" ht="15" customHeight="1">
      <c r="A148" s="254"/>
      <c r="B148" s="255"/>
      <c r="C148" s="255"/>
      <c r="D148" s="256"/>
      <c r="E148" s="257"/>
      <c r="F148" s="257"/>
    </row>
    <row r="149" spans="1:6" ht="15" customHeight="1">
      <c r="A149" s="254"/>
      <c r="B149" s="255" t="str">
        <f>CONCATENATE("Station: ",HLOOKUP($C$5,$E$5:$P$25,6,FALSE))</f>
        <v>Station: MANGINAPUDI</v>
      </c>
      <c r="C149" s="255"/>
      <c r="D149" s="256"/>
      <c r="E149" s="257"/>
      <c r="F149" s="257"/>
    </row>
    <row r="150" spans="1:6" ht="6" customHeight="1">
      <c r="A150" s="254"/>
      <c r="B150" s="255"/>
      <c r="C150" s="255"/>
      <c r="D150" s="256"/>
      <c r="E150" s="257"/>
      <c r="F150" s="257"/>
    </row>
    <row r="151" spans="1:6" ht="15" customHeight="1">
      <c r="A151" s="254"/>
      <c r="B151" s="255" t="s">
        <v>150</v>
      </c>
      <c r="C151" s="255"/>
      <c r="D151" s="256"/>
      <c r="E151" s="257"/>
      <c r="F151" s="259" t="s">
        <v>372</v>
      </c>
    </row>
    <row r="152" spans="1:6" ht="6" customHeight="1">
      <c r="A152" s="254"/>
      <c r="B152" s="255"/>
      <c r="C152" s="255"/>
      <c r="D152" s="256"/>
      <c r="E152" s="257"/>
      <c r="F152" s="257"/>
    </row>
    <row r="153" spans="1:6" ht="15" customHeight="1">
      <c r="A153" s="366" t="s">
        <v>158</v>
      </c>
      <c r="B153" s="366"/>
      <c r="C153" s="366"/>
      <c r="D153" s="366"/>
      <c r="E153" s="366"/>
      <c r="F153" s="366"/>
    </row>
    <row r="154" spans="1:6" ht="6" customHeight="1">
      <c r="A154" s="254"/>
      <c r="B154" s="255"/>
      <c r="C154" s="255"/>
      <c r="D154" s="256"/>
      <c r="E154" s="257"/>
      <c r="F154" s="257"/>
    </row>
    <row r="155" spans="1:6" ht="54.75" customHeight="1">
      <c r="A155" s="254"/>
      <c r="B155" s="367" t="str">
        <f>CONCATENATE("           Certified that ",HLOOKUP($C$5,$E$5:$P$25,12,FALSE),", ",VLOOKUP(HLOOKUP($C$5,$E$5:$P$25,9,FALSE),B96:C99,2,FALSE)," ",HLOOKUP($C$5,$E$5:$P$25,2,FALSE)," studied class ",VLOOKUP(HLOOKUP($C$5,$E$5:$P$25,15,FALSE),$B$101:$C$110,2,FALSE)," during the academic year ",K29," and paid tution fees of Rs. ",HLOOKUP($C$5,$E$5:$P$25,16,FALSE)," per month. Also the school was recognised by state govt of Andhra Pradesh as per Rc.No: ",HLOOKUP($C$5,$E$5:$P$25,19,FALSE))</f>
        <v>           Certified that LAKSHMI HIGH SCHOOL, D/O G.SRINIVASULU studied class II during the academic year 2012-13 and paid tution fees of Rs. 1800 per month. Also the school was recognised by state govt of Andhra Pradesh as per Rc.No: </v>
      </c>
      <c r="C155" s="367"/>
      <c r="D155" s="367"/>
      <c r="E155" s="367"/>
      <c r="F155" s="367"/>
    </row>
    <row r="156" spans="1:6" ht="6" customHeight="1">
      <c r="A156" s="254"/>
      <c r="B156" s="255"/>
      <c r="C156" s="255"/>
      <c r="D156" s="256"/>
      <c r="E156" s="257"/>
      <c r="F156" s="257"/>
    </row>
    <row r="157" spans="1:6" ht="24.75" customHeight="1">
      <c r="A157" s="254"/>
      <c r="B157" s="370" t="s">
        <v>393</v>
      </c>
      <c r="C157" s="370"/>
      <c r="D157" s="370"/>
      <c r="E157" s="370"/>
      <c r="F157" s="370"/>
    </row>
    <row r="158" spans="1:6" ht="15" customHeight="1">
      <c r="A158" s="254"/>
      <c r="B158" s="255"/>
      <c r="C158" s="255"/>
      <c r="D158" s="256"/>
      <c r="E158" s="257"/>
      <c r="F158" s="257"/>
    </row>
    <row r="159" spans="1:6" ht="15" customHeight="1">
      <c r="A159" s="254"/>
      <c r="B159" s="255" t="str">
        <f>CONCATENATE("Station: ",HLOOKUP($C$5,$E$5:$P$25,19,FALSE))</f>
        <v>Station: </v>
      </c>
      <c r="C159" s="255"/>
      <c r="D159" s="256"/>
      <c r="E159" s="257"/>
      <c r="F159" s="257"/>
    </row>
    <row r="160" spans="1:6" ht="15" customHeight="1">
      <c r="A160" s="254"/>
      <c r="B160" s="255" t="s">
        <v>150</v>
      </c>
      <c r="C160" s="255"/>
      <c r="D160" s="256"/>
      <c r="E160" s="257"/>
      <c r="F160" s="259" t="s">
        <v>373</v>
      </c>
    </row>
    <row r="161" spans="1:6" ht="15" customHeight="1">
      <c r="A161" s="254"/>
      <c r="B161" s="255"/>
      <c r="C161" s="255"/>
      <c r="D161" s="256"/>
      <c r="E161" s="257"/>
      <c r="F161" s="257"/>
    </row>
    <row r="162" spans="1:6" ht="12.75">
      <c r="A162" s="254"/>
      <c r="B162" s="255"/>
      <c r="C162" s="255"/>
      <c r="D162" s="256"/>
      <c r="E162" s="257"/>
      <c r="F162" s="257"/>
    </row>
    <row r="164" spans="1:8" ht="12.75" hidden="1">
      <c r="A164" s="275">
        <v>1</v>
      </c>
      <c r="B164" s="276" t="str">
        <f>HLOOKUP(A164,$E$5:$P$25,2,FALSE)</f>
        <v>G.SRINIVASULU</v>
      </c>
      <c r="C164" s="277" t="str">
        <f>HLOOKUP(A164,$E$5:$P$25,4,FALSE)</f>
        <v>S.A(P.S)</v>
      </c>
      <c r="D164" s="278"/>
      <c r="E164" s="276">
        <f>HLOOKUP(A164,$E$5:$P$25,16,FALSE)</f>
        <v>1800</v>
      </c>
      <c r="F164" s="283" t="str">
        <f>HLOOKUP(A164,$E$5:$P$25,3,FALSE)</f>
        <v>0725419</v>
      </c>
      <c r="G164" s="252" t="s">
        <v>453</v>
      </c>
      <c r="H164" s="250">
        <v>6700</v>
      </c>
    </row>
    <row r="165" spans="1:8" ht="12.75" hidden="1">
      <c r="A165" s="279">
        <v>2</v>
      </c>
      <c r="B165" s="98" t="str">
        <f aca="true" t="shared" si="0" ref="B165:B175">HLOOKUP(A165,$E$5:$P$25,2,FALSE)</f>
        <v>T.SRINIVASA RAO</v>
      </c>
      <c r="C165" s="284" t="str">
        <f aca="true" t="shared" si="1" ref="C165:C175">HLOOKUP(A165,$E$5:$P$25,4,FALSE)</f>
        <v>S.A(P.S)</v>
      </c>
      <c r="D165" s="169"/>
      <c r="E165" s="98">
        <f>HLOOKUP(A165,$E$5:$P$25,16,FALSE)</f>
        <v>1600</v>
      </c>
      <c r="F165" s="285" t="str">
        <f aca="true" t="shared" si="2" ref="F165:F175">HLOOKUP(A165,$E$5:$P$25,3,FALSE)</f>
        <v>0718363</v>
      </c>
      <c r="G165" s="252" t="s">
        <v>452</v>
      </c>
      <c r="H165" s="250">
        <v>6900</v>
      </c>
    </row>
    <row r="166" spans="1:8" ht="12.75" hidden="1">
      <c r="A166" s="279">
        <v>3</v>
      </c>
      <c r="B166" s="98">
        <f t="shared" si="0"/>
        <v>0</v>
      </c>
      <c r="C166" s="284">
        <f t="shared" si="1"/>
        <v>0</v>
      </c>
      <c r="D166" s="169"/>
      <c r="E166" s="98">
        <f>HLOOKUP(A166,$E$5:$P$25,16,FALSE)</f>
        <v>0</v>
      </c>
      <c r="F166" s="285">
        <f t="shared" si="2"/>
        <v>0</v>
      </c>
      <c r="G166" s="252" t="s">
        <v>444</v>
      </c>
      <c r="H166" s="250">
        <v>7100</v>
      </c>
    </row>
    <row r="167" spans="1:8" ht="12.75" hidden="1">
      <c r="A167" s="279">
        <v>4</v>
      </c>
      <c r="B167" s="98">
        <f t="shared" si="0"/>
        <v>0</v>
      </c>
      <c r="C167" s="284">
        <f t="shared" si="1"/>
        <v>0</v>
      </c>
      <c r="D167" s="169"/>
      <c r="E167" s="98">
        <f aca="true" t="shared" si="3" ref="E167:E175">HLOOKUP(A167,$E$5:$P$25,16,FALSE)</f>
        <v>0</v>
      </c>
      <c r="F167" s="285">
        <f t="shared" si="2"/>
        <v>0</v>
      </c>
      <c r="G167" s="252" t="s">
        <v>445</v>
      </c>
      <c r="H167" s="319">
        <v>7300</v>
      </c>
    </row>
    <row r="168" spans="1:8" ht="12.75" hidden="1">
      <c r="A168" s="279">
        <v>5</v>
      </c>
      <c r="B168" s="98">
        <f t="shared" si="0"/>
        <v>0</v>
      </c>
      <c r="C168" s="284">
        <f t="shared" si="1"/>
        <v>0</v>
      </c>
      <c r="D168" s="169"/>
      <c r="E168" s="98">
        <f t="shared" si="3"/>
        <v>0</v>
      </c>
      <c r="F168" s="285">
        <f t="shared" si="2"/>
        <v>0</v>
      </c>
      <c r="G168" s="252" t="s">
        <v>446</v>
      </c>
      <c r="H168" s="250">
        <v>7520</v>
      </c>
    </row>
    <row r="169" spans="1:8" ht="12.75" hidden="1">
      <c r="A169" s="279">
        <v>6</v>
      </c>
      <c r="B169" s="98">
        <f t="shared" si="0"/>
        <v>0</v>
      </c>
      <c r="C169" s="284">
        <f t="shared" si="1"/>
        <v>0</v>
      </c>
      <c r="D169" s="169"/>
      <c r="E169" s="98">
        <f t="shared" si="3"/>
        <v>0</v>
      </c>
      <c r="F169" s="285">
        <f t="shared" si="2"/>
        <v>0</v>
      </c>
      <c r="G169" s="252" t="s">
        <v>447</v>
      </c>
      <c r="H169" s="250">
        <v>7740</v>
      </c>
    </row>
    <row r="170" spans="1:8" ht="12.75" hidden="1">
      <c r="A170" s="279">
        <v>7</v>
      </c>
      <c r="B170" s="98">
        <f t="shared" si="0"/>
        <v>0</v>
      </c>
      <c r="C170" s="284">
        <f t="shared" si="1"/>
        <v>0</v>
      </c>
      <c r="D170" s="169"/>
      <c r="E170" s="98">
        <f t="shared" si="3"/>
        <v>0</v>
      </c>
      <c r="F170" s="285">
        <f t="shared" si="2"/>
        <v>0</v>
      </c>
      <c r="G170" s="252" t="s">
        <v>448</v>
      </c>
      <c r="H170" s="250">
        <v>7960</v>
      </c>
    </row>
    <row r="171" spans="1:8" ht="12.75" hidden="1">
      <c r="A171" s="279">
        <v>8</v>
      </c>
      <c r="B171" s="98">
        <f t="shared" si="0"/>
        <v>0</v>
      </c>
      <c r="C171" s="284">
        <f t="shared" si="1"/>
        <v>0</v>
      </c>
      <c r="D171" s="169"/>
      <c r="E171" s="98">
        <f t="shared" si="3"/>
        <v>0</v>
      </c>
      <c r="F171" s="285">
        <f t="shared" si="2"/>
        <v>0</v>
      </c>
      <c r="G171" s="252" t="s">
        <v>449</v>
      </c>
      <c r="H171" s="250">
        <v>8200</v>
      </c>
    </row>
    <row r="172" spans="1:8" ht="12.75" hidden="1">
      <c r="A172" s="279">
        <v>9</v>
      </c>
      <c r="B172" s="98">
        <f t="shared" si="0"/>
        <v>0</v>
      </c>
      <c r="C172" s="284">
        <f t="shared" si="1"/>
        <v>0</v>
      </c>
      <c r="D172" s="169"/>
      <c r="E172" s="98">
        <f t="shared" si="3"/>
        <v>0</v>
      </c>
      <c r="F172" s="285">
        <f t="shared" si="2"/>
        <v>0</v>
      </c>
      <c r="G172" s="252" t="s">
        <v>450</v>
      </c>
      <c r="H172" s="250">
        <v>8440</v>
      </c>
    </row>
    <row r="173" spans="1:8" ht="12.75" hidden="1">
      <c r="A173" s="279">
        <v>10</v>
      </c>
      <c r="B173" s="98">
        <f t="shared" si="0"/>
        <v>0</v>
      </c>
      <c r="C173" s="284">
        <f t="shared" si="1"/>
        <v>0</v>
      </c>
      <c r="D173" s="169"/>
      <c r="E173" s="98">
        <f t="shared" si="3"/>
        <v>0</v>
      </c>
      <c r="F173" s="285">
        <f t="shared" si="2"/>
        <v>0</v>
      </c>
      <c r="G173" s="252" t="s">
        <v>451</v>
      </c>
      <c r="H173" s="250">
        <v>8680</v>
      </c>
    </row>
    <row r="174" spans="1:8" ht="12.75" hidden="1">
      <c r="A174" s="279">
        <v>11</v>
      </c>
      <c r="B174" s="98">
        <f t="shared" si="0"/>
        <v>0</v>
      </c>
      <c r="C174" s="284">
        <f t="shared" si="1"/>
        <v>0</v>
      </c>
      <c r="D174" s="169"/>
      <c r="E174" s="98">
        <f t="shared" si="3"/>
        <v>0</v>
      </c>
      <c r="F174" s="285">
        <f t="shared" si="2"/>
        <v>0</v>
      </c>
      <c r="H174" s="250">
        <v>8940</v>
      </c>
    </row>
    <row r="175" spans="1:8" ht="12.75" hidden="1">
      <c r="A175" s="280">
        <v>12</v>
      </c>
      <c r="B175" s="98">
        <f t="shared" si="0"/>
        <v>0</v>
      </c>
      <c r="C175" s="287">
        <f t="shared" si="1"/>
        <v>0</v>
      </c>
      <c r="D175" s="282"/>
      <c r="E175" s="281">
        <f t="shared" si="3"/>
        <v>0</v>
      </c>
      <c r="F175" s="286">
        <f t="shared" si="2"/>
        <v>0</v>
      </c>
      <c r="H175" s="250">
        <v>9200</v>
      </c>
    </row>
    <row r="176" ht="12.75" hidden="1">
      <c r="H176" s="250">
        <v>9460</v>
      </c>
    </row>
    <row r="177" spans="2:8" ht="12.75" hidden="1">
      <c r="B177" s="98"/>
      <c r="H177" s="250">
        <v>9740</v>
      </c>
    </row>
    <row r="178" ht="12.75" hidden="1">
      <c r="H178" s="250">
        <v>10020</v>
      </c>
    </row>
    <row r="179" spans="3:8" ht="13.5" hidden="1" thickBot="1">
      <c r="C179" s="301" t="s">
        <v>412</v>
      </c>
      <c r="H179" s="250">
        <v>10300</v>
      </c>
    </row>
    <row r="180" spans="1:8" ht="36.75" customHeight="1" hidden="1" thickBot="1">
      <c r="A180" s="357" t="s">
        <v>284</v>
      </c>
      <c r="B180" s="358"/>
      <c r="C180" s="235" t="str">
        <f>VLOOKUP(I34,A182:B193,2,FALSE)</f>
        <v> THREE </v>
      </c>
      <c r="D180" s="288"/>
      <c r="E180" s="288">
        <f>E181+1</f>
        <v>4001</v>
      </c>
      <c r="F180" s="288"/>
      <c r="H180" s="250">
        <v>10600</v>
      </c>
    </row>
    <row r="181" spans="1:8" ht="13.5" hidden="1" thickBot="1">
      <c r="A181" s="103">
        <v>0</v>
      </c>
      <c r="B181" s="100">
        <f>T(L158)</f>
      </c>
      <c r="C181" s="292" t="s">
        <v>410</v>
      </c>
      <c r="D181" s="105"/>
      <c r="E181" s="105">
        <f>BILL!V17</f>
        <v>4000</v>
      </c>
      <c r="F181" s="293"/>
      <c r="G181" s="350"/>
      <c r="H181" s="250">
        <v>10900</v>
      </c>
    </row>
    <row r="182" spans="1:8" ht="12.75" hidden="1">
      <c r="A182" s="110">
        <v>1</v>
      </c>
      <c r="B182" s="100" t="s">
        <v>186</v>
      </c>
      <c r="C182" s="103">
        <f>#N/A</f>
      </c>
      <c r="D182" s="289"/>
      <c r="E182" s="2">
        <f>IF(LEN($E$181)&gt;7,LOOKUP(VALUE(C182),$A$181:$B$280,$B$181:$B$280),T($E$181))</f>
      </c>
      <c r="F182" s="290">
        <f>IF(LEN(E181)&gt;7,IF(VALUE(C182)=0,T(E181),IF(VALUE(C182)=1," CRORE"," CRORES")),T(E181))</f>
      </c>
      <c r="G182" s="350"/>
      <c r="H182" s="250">
        <v>11200</v>
      </c>
    </row>
    <row r="183" spans="1:8" ht="12.75" hidden="1">
      <c r="A183" s="110">
        <v>2</v>
      </c>
      <c r="B183" s="100" t="s">
        <v>187</v>
      </c>
      <c r="C183" s="103">
        <f>#N/A</f>
      </c>
      <c r="D183" s="289"/>
      <c r="E183" s="2">
        <f>IF(LEN($E$181)&gt;5,LOOKUP(VALUE(C183),$A$181:$B$280,$B$181:$B$280),T($E$181))</f>
      </c>
      <c r="F183" s="290">
        <f>IF(LEN(E181)&gt;5,IF(VALUE(C183)=0,T(E181),IF(VALUE(C183)=1," LAKH"," LAKHS")),T(E181))</f>
      </c>
      <c r="G183" s="350"/>
      <c r="H183" s="250">
        <v>11530</v>
      </c>
    </row>
    <row r="184" spans="1:8" ht="12.75" hidden="1">
      <c r="A184" s="110">
        <v>3</v>
      </c>
      <c r="B184" s="100" t="s">
        <v>188</v>
      </c>
      <c r="C184" s="103" t="str">
        <f>#N/A</f>
        <v>4</v>
      </c>
      <c r="D184" s="289"/>
      <c r="E184" s="2" t="str">
        <f>IF(LEN($E$181)&gt;3,LOOKUP(VALUE(C184),$A$181:$B$280,$B$181:$B$280),T($E$181))</f>
        <v> FOUR </v>
      </c>
      <c r="F184" s="290" t="str">
        <f>IF(LEN(E181)&gt;3,IF(VALUE(C184)=0,T(E181),IF(VALUE(C184)=1," THOUSAND"," THOUSAND")),T(E181))</f>
        <v> THOUSAND</v>
      </c>
      <c r="G184" s="350"/>
      <c r="H184" s="250">
        <v>11860</v>
      </c>
    </row>
    <row r="185" spans="1:8" ht="12.75" hidden="1">
      <c r="A185" s="110">
        <v>4</v>
      </c>
      <c r="B185" s="100" t="s">
        <v>189</v>
      </c>
      <c r="C185" s="103" t="str">
        <f>#N/A</f>
        <v>0</v>
      </c>
      <c r="D185" s="289"/>
      <c r="E185" s="2">
        <f>IF(LEN($E$181)&gt;1,LOOKUP(VALUE(C185),$A$181:$B$280,$B$181:$B$280),T($E$181))</f>
      </c>
      <c r="F185" s="290">
        <f>IF(LEN(E181)&gt;2,IF(VALUE(C185)=0,T(E181),IF(VALUE(C185)=1," HUNDRED"," HUNDRED")),T(E181))</f>
      </c>
      <c r="G185" s="350"/>
      <c r="H185" s="250">
        <v>12190</v>
      </c>
    </row>
    <row r="186" spans="1:8" ht="12.75" hidden="1">
      <c r="A186" s="110">
        <v>5</v>
      </c>
      <c r="B186" s="100" t="s">
        <v>190</v>
      </c>
      <c r="C186" s="103"/>
      <c r="D186" s="289"/>
      <c r="E186" s="2"/>
      <c r="F186" s="290"/>
      <c r="G186" s="350"/>
      <c r="H186" s="250">
        <v>12550</v>
      </c>
    </row>
    <row r="187" spans="1:8" ht="12.75" hidden="1">
      <c r="A187" s="110">
        <v>6</v>
      </c>
      <c r="B187" s="100" t="s">
        <v>191</v>
      </c>
      <c r="C187" s="103" t="str">
        <f>#N/A</f>
        <v>00</v>
      </c>
      <c r="D187" s="289"/>
      <c r="E187" s="2">
        <f>IF(LEN($E$181)&gt;0,LOOKUP(VALUE(C187),$A$181:$B$280,$B$181:$B$280),T($E$181))</f>
      </c>
      <c r="F187" s="290">
        <f>IF(LEN(E181)&gt;0,IF(VALUE(C187)=0,T(E181),IF(VALUE(C187)=1," RUPEE "," RUPEES ")),T(E181))</f>
      </c>
      <c r="G187" s="350"/>
      <c r="H187" s="250">
        <v>12910</v>
      </c>
    </row>
    <row r="188" spans="1:8" ht="13.5" hidden="1" thickBot="1">
      <c r="A188" s="110">
        <v>7</v>
      </c>
      <c r="B188" s="100" t="s">
        <v>192</v>
      </c>
      <c r="C188" s="103"/>
      <c r="D188" s="289"/>
      <c r="E188" s="2"/>
      <c r="F188" s="291" t="s">
        <v>185</v>
      </c>
      <c r="G188" s="350"/>
      <c r="H188" s="250">
        <v>13270</v>
      </c>
    </row>
    <row r="189" spans="1:8" ht="13.5" hidden="1" thickBot="1">
      <c r="A189" s="110">
        <v>8</v>
      </c>
      <c r="B189" s="100" t="s">
        <v>193</v>
      </c>
      <c r="C189" s="104" t="str">
        <f>CONCATENATE(E182,F182,E183,F183,E184,F184,E185,F185,F186,E187,F187,F188,".")</f>
        <v> FOUR  THOUSAND ONLY.</v>
      </c>
      <c r="D189" s="105"/>
      <c r="E189" s="105"/>
      <c r="F189" s="106"/>
      <c r="G189" s="350"/>
      <c r="H189" s="250">
        <v>13660</v>
      </c>
    </row>
    <row r="190" spans="1:8" ht="13.5" hidden="1" thickBot="1">
      <c r="A190" s="110">
        <v>9</v>
      </c>
      <c r="B190" s="100" t="s">
        <v>194</v>
      </c>
      <c r="C190" s="2"/>
      <c r="D190" s="2"/>
      <c r="E190" s="2"/>
      <c r="F190" s="2"/>
      <c r="G190" s="350"/>
      <c r="H190" s="250">
        <v>14050</v>
      </c>
    </row>
    <row r="191" spans="1:8" ht="13.5" hidden="1" thickBot="1">
      <c r="A191" s="110">
        <v>10</v>
      </c>
      <c r="B191" s="100" t="s">
        <v>195</v>
      </c>
      <c r="C191" s="292" t="s">
        <v>410</v>
      </c>
      <c r="D191" s="105"/>
      <c r="E191" s="105">
        <f>E181+1</f>
        <v>4001</v>
      </c>
      <c r="F191" s="293"/>
      <c r="G191" s="351" t="s">
        <v>461</v>
      </c>
      <c r="H191" s="250">
        <v>14440</v>
      </c>
    </row>
    <row r="192" spans="1:8" ht="12.75" hidden="1">
      <c r="A192" s="110">
        <v>11</v>
      </c>
      <c r="B192" s="100" t="s">
        <v>196</v>
      </c>
      <c r="C192" s="103">
        <f>#N/A</f>
      </c>
      <c r="D192" s="289"/>
      <c r="E192" s="2">
        <f>IF(LEN($E$181)&gt;7,LOOKUP(VALUE(C192),$A$181:$B$280,$B$181:$B$280),T($E$181))</f>
      </c>
      <c r="F192" s="290">
        <f>IF(LEN(E191)&gt;7,IF(VALUE(C192)=0,T(E191),IF(VALUE(C192)=1," CRORE"," CRORES")),T(E191))</f>
      </c>
      <c r="G192" s="351" t="s">
        <v>286</v>
      </c>
      <c r="H192" s="250">
        <v>14860</v>
      </c>
    </row>
    <row r="193" spans="1:8" ht="12.75" hidden="1">
      <c r="A193" s="110">
        <v>12</v>
      </c>
      <c r="B193" s="100" t="s">
        <v>197</v>
      </c>
      <c r="C193" s="103">
        <f>#N/A</f>
      </c>
      <c r="D193" s="289"/>
      <c r="E193" s="2">
        <f>IF(LEN($E$181)&gt;5,LOOKUP(VALUE(C193),$A$181:$B$280,$B$181:$B$280),T($E$181))</f>
      </c>
      <c r="F193" s="290">
        <f>IF(LEN(E191)&gt;5,IF(VALUE(C193)=0,T(E191),IF(VALUE(C193)=1," LAKH"," LAKHS")),T(E191))</f>
      </c>
      <c r="G193" s="351" t="s">
        <v>287</v>
      </c>
      <c r="H193" s="250">
        <v>15280</v>
      </c>
    </row>
    <row r="194" spans="1:8" ht="12.75" hidden="1">
      <c r="A194" s="110">
        <v>13</v>
      </c>
      <c r="B194" s="100" t="s">
        <v>198</v>
      </c>
      <c r="C194" s="103" t="str">
        <f>#N/A</f>
        <v>4</v>
      </c>
      <c r="D194" s="289"/>
      <c r="E194" s="2" t="str">
        <f>IF(LEN($E$181)&gt;3,LOOKUP(VALUE(C194),$A$181:$B$280,$B$181:$B$280),T($E$181))</f>
        <v> FOUR </v>
      </c>
      <c r="F194" s="290" t="str">
        <f>IF(LEN(E191)&gt;3,IF(VALUE(C194)=0,T(E191),IF(VALUE(C194)=1," THOUSAND"," THOUSAND")),T(E191))</f>
        <v> THOUSAND</v>
      </c>
      <c r="G194" s="351" t="s">
        <v>462</v>
      </c>
      <c r="H194" s="250">
        <v>15700</v>
      </c>
    </row>
    <row r="195" spans="1:8" ht="12.75" hidden="1">
      <c r="A195" s="110">
        <v>14</v>
      </c>
      <c r="B195" s="100" t="s">
        <v>199</v>
      </c>
      <c r="C195" s="103" t="str">
        <f>#N/A</f>
        <v>0</v>
      </c>
      <c r="D195" s="289"/>
      <c r="E195" s="2">
        <f>IF(LEN($E$181)&gt;1,LOOKUP(VALUE(C195),$A$181:$B$280,$B$181:$B$280),T($E$181))</f>
      </c>
      <c r="F195" s="290">
        <f>IF(LEN(E191)&gt;2,IF(VALUE(C195)=0,T(E191),IF(VALUE(C195)=1," HUNDRED"," HUNDRED")),T(E191))</f>
      </c>
      <c r="G195" s="351" t="s">
        <v>463</v>
      </c>
      <c r="H195" s="250">
        <v>16150</v>
      </c>
    </row>
    <row r="196" spans="1:8" ht="12.75" hidden="1">
      <c r="A196" s="110">
        <v>15</v>
      </c>
      <c r="B196" s="100" t="s">
        <v>200</v>
      </c>
      <c r="C196" s="103"/>
      <c r="D196" s="289"/>
      <c r="E196" s="2"/>
      <c r="F196" s="290"/>
      <c r="G196" s="351" t="s">
        <v>464</v>
      </c>
      <c r="H196" s="250">
        <v>16600</v>
      </c>
    </row>
    <row r="197" spans="1:8" ht="12.75" hidden="1">
      <c r="A197" s="110">
        <v>16</v>
      </c>
      <c r="B197" s="100" t="s">
        <v>201</v>
      </c>
      <c r="C197" s="103" t="str">
        <f>#N/A</f>
        <v>01</v>
      </c>
      <c r="D197" s="289"/>
      <c r="E197" s="2" t="str">
        <f>IF(LEN($E$181)&gt;0,LOOKUP(VALUE(C197),$A$181:$B$280,$B$181:$B$280),T($E$181))</f>
        <v> ONE</v>
      </c>
      <c r="F197" s="290" t="str">
        <f>IF(LEN(E191)&gt;0,IF(VALUE(C197)=0,T(E191),IF(VALUE(C197)=1," RUPEE "," RUPEES ")),T(E191))</f>
        <v> RUPEE </v>
      </c>
      <c r="G197" s="351" t="s">
        <v>465</v>
      </c>
      <c r="H197" s="250">
        <v>17050</v>
      </c>
    </row>
    <row r="198" spans="1:8" ht="13.5" hidden="1" thickBot="1">
      <c r="A198" s="110">
        <v>17</v>
      </c>
      <c r="B198" s="100" t="s">
        <v>202</v>
      </c>
      <c r="C198" s="103"/>
      <c r="D198" s="289"/>
      <c r="E198" s="2"/>
      <c r="F198" s="291" t="s">
        <v>185</v>
      </c>
      <c r="G198" s="351" t="s">
        <v>469</v>
      </c>
      <c r="H198" s="250">
        <v>17540</v>
      </c>
    </row>
    <row r="199" spans="1:8" ht="13.5" hidden="1" thickBot="1">
      <c r="A199" s="110">
        <v>18</v>
      </c>
      <c r="B199" s="100" t="s">
        <v>203</v>
      </c>
      <c r="C199" s="104" t="str">
        <f>CONCATENATE(E192,F192,E193,F193,E194,F194,E195,F195,F196,E197,F197,F198,".")</f>
        <v> FOUR  THOUSAND ONE RUPEE  ONLY.</v>
      </c>
      <c r="D199" s="105"/>
      <c r="E199" s="105"/>
      <c r="F199" s="106"/>
      <c r="G199" s="353" t="s">
        <v>454</v>
      </c>
      <c r="H199" s="250">
        <v>18030</v>
      </c>
    </row>
    <row r="200" spans="1:8" ht="12.75" hidden="1">
      <c r="A200" s="110">
        <v>19</v>
      </c>
      <c r="B200" s="100" t="s">
        <v>204</v>
      </c>
      <c r="C200" s="2"/>
      <c r="D200" s="2"/>
      <c r="E200" s="2"/>
      <c r="F200" s="2"/>
      <c r="G200" s="353" t="s">
        <v>455</v>
      </c>
      <c r="H200" s="250">
        <v>18520</v>
      </c>
    </row>
    <row r="201" spans="1:8" ht="12.75" hidden="1">
      <c r="A201" s="110">
        <v>20</v>
      </c>
      <c r="B201" s="100" t="s">
        <v>205</v>
      </c>
      <c r="C201" s="2"/>
      <c r="D201" s="2"/>
      <c r="E201" s="2"/>
      <c r="F201" s="2"/>
      <c r="G201" s="353" t="s">
        <v>466</v>
      </c>
      <c r="H201" s="250">
        <v>19050</v>
      </c>
    </row>
    <row r="202" spans="1:8" ht="12.75" hidden="1">
      <c r="A202" s="110">
        <v>21</v>
      </c>
      <c r="B202" s="100" t="s">
        <v>206</v>
      </c>
      <c r="C202" s="2"/>
      <c r="D202" s="2"/>
      <c r="E202" s="2"/>
      <c r="F202" s="2"/>
      <c r="G202" s="351" t="s">
        <v>467</v>
      </c>
      <c r="H202" s="250">
        <v>19580</v>
      </c>
    </row>
    <row r="203" spans="1:8" ht="12.75" hidden="1">
      <c r="A203" s="110">
        <v>22</v>
      </c>
      <c r="B203" s="100" t="s">
        <v>207</v>
      </c>
      <c r="C203" s="2"/>
      <c r="D203" s="2"/>
      <c r="E203" s="2"/>
      <c r="F203" s="2"/>
      <c r="G203" s="351" t="s">
        <v>468</v>
      </c>
      <c r="H203" s="250">
        <v>20110</v>
      </c>
    </row>
    <row r="204" spans="1:8" ht="12.75" hidden="1">
      <c r="A204" s="110">
        <v>23</v>
      </c>
      <c r="B204" s="100" t="s">
        <v>208</v>
      </c>
      <c r="C204" s="2"/>
      <c r="D204" s="2"/>
      <c r="E204" s="2"/>
      <c r="F204" s="2"/>
      <c r="G204" s="353" t="s">
        <v>456</v>
      </c>
      <c r="H204" s="250">
        <v>20680</v>
      </c>
    </row>
    <row r="205" spans="1:8" ht="12.75" hidden="1">
      <c r="A205" s="110">
        <v>24</v>
      </c>
      <c r="B205" s="100" t="s">
        <v>209</v>
      </c>
      <c r="C205" s="2"/>
      <c r="D205" s="2"/>
      <c r="E205" s="2"/>
      <c r="F205" s="2"/>
      <c r="G205" s="353" t="s">
        <v>457</v>
      </c>
      <c r="H205" s="250">
        <v>21250</v>
      </c>
    </row>
    <row r="206" spans="1:8" ht="12.75" hidden="1">
      <c r="A206" s="110">
        <v>25</v>
      </c>
      <c r="B206" s="100" t="s">
        <v>210</v>
      </c>
      <c r="C206" s="2"/>
      <c r="D206" s="2"/>
      <c r="E206" s="2"/>
      <c r="F206" s="2"/>
      <c r="G206" s="353" t="s">
        <v>458</v>
      </c>
      <c r="H206" s="250">
        <v>21820</v>
      </c>
    </row>
    <row r="207" spans="1:8" ht="12.75" hidden="1">
      <c r="A207" s="110">
        <v>26</v>
      </c>
      <c r="B207" s="100" t="s">
        <v>211</v>
      </c>
      <c r="C207" s="2"/>
      <c r="D207" s="2"/>
      <c r="E207" s="2"/>
      <c r="F207" s="2"/>
      <c r="G207" s="353" t="s">
        <v>459</v>
      </c>
      <c r="H207" s="250">
        <v>22430</v>
      </c>
    </row>
    <row r="208" spans="1:8" ht="12.75" hidden="1">
      <c r="A208" s="110">
        <v>27</v>
      </c>
      <c r="B208" s="100" t="s">
        <v>212</v>
      </c>
      <c r="C208" s="2"/>
      <c r="D208" s="2"/>
      <c r="E208" s="2"/>
      <c r="F208" s="2"/>
      <c r="G208" s="353" t="s">
        <v>460</v>
      </c>
      <c r="H208" s="250">
        <v>23040</v>
      </c>
    </row>
    <row r="209" spans="1:8" ht="12.75" hidden="1">
      <c r="A209" s="110">
        <v>28</v>
      </c>
      <c r="B209" s="100" t="s">
        <v>213</v>
      </c>
      <c r="C209" s="2"/>
      <c r="D209" s="2"/>
      <c r="E209" s="2"/>
      <c r="F209" s="2"/>
      <c r="G209" s="353"/>
      <c r="H209" s="250">
        <v>23650</v>
      </c>
    </row>
    <row r="210" spans="1:8" ht="12.75" hidden="1">
      <c r="A210" s="110">
        <v>29</v>
      </c>
      <c r="B210" s="100" t="s">
        <v>214</v>
      </c>
      <c r="C210" s="2"/>
      <c r="D210" s="2"/>
      <c r="E210" s="2"/>
      <c r="F210" s="2"/>
      <c r="G210" s="352"/>
      <c r="H210" s="250">
        <v>24300</v>
      </c>
    </row>
    <row r="211" spans="1:8" ht="12.75" hidden="1">
      <c r="A211" s="110">
        <v>30</v>
      </c>
      <c r="B211" s="100" t="s">
        <v>215</v>
      </c>
      <c r="C211" s="2"/>
      <c r="D211" s="2"/>
      <c r="E211" s="2"/>
      <c r="F211" s="2"/>
      <c r="G211" s="352"/>
      <c r="H211" s="250">
        <v>24950</v>
      </c>
    </row>
    <row r="212" spans="1:8" ht="12.75" hidden="1">
      <c r="A212" s="110">
        <v>31</v>
      </c>
      <c r="B212" s="100" t="s">
        <v>216</v>
      </c>
      <c r="C212" s="2"/>
      <c r="D212" s="2"/>
      <c r="E212" s="2"/>
      <c r="F212" s="2"/>
      <c r="G212" s="352"/>
      <c r="H212" s="250">
        <v>25600</v>
      </c>
    </row>
    <row r="213" spans="1:8" ht="12.75" hidden="1">
      <c r="A213" s="110">
        <v>32</v>
      </c>
      <c r="B213" s="100" t="s">
        <v>217</v>
      </c>
      <c r="C213" s="2"/>
      <c r="D213" s="2"/>
      <c r="E213" s="2"/>
      <c r="F213" s="2"/>
      <c r="G213" s="352"/>
      <c r="H213" s="250">
        <v>26300</v>
      </c>
    </row>
    <row r="214" spans="1:8" ht="12.75" hidden="1">
      <c r="A214" s="110">
        <v>33</v>
      </c>
      <c r="B214" s="100" t="s">
        <v>218</v>
      </c>
      <c r="C214" s="2"/>
      <c r="D214" s="2"/>
      <c r="E214" s="2"/>
      <c r="F214" s="2"/>
      <c r="G214" s="352"/>
      <c r="H214" s="250">
        <v>27000</v>
      </c>
    </row>
    <row r="215" spans="1:8" ht="12.75" hidden="1">
      <c r="A215" s="110">
        <v>34</v>
      </c>
      <c r="B215" s="100" t="s">
        <v>219</v>
      </c>
      <c r="C215" s="2"/>
      <c r="D215" s="2"/>
      <c r="E215" s="2"/>
      <c r="F215" s="2"/>
      <c r="G215" s="352"/>
      <c r="H215" s="250">
        <v>27700</v>
      </c>
    </row>
    <row r="216" spans="1:8" ht="12.75" hidden="1">
      <c r="A216" s="110">
        <v>35</v>
      </c>
      <c r="B216" s="100" t="s">
        <v>220</v>
      </c>
      <c r="C216" s="2"/>
      <c r="D216" s="2"/>
      <c r="E216" s="2"/>
      <c r="F216" s="2"/>
      <c r="H216" s="250">
        <v>28450</v>
      </c>
    </row>
    <row r="217" spans="1:8" ht="12.75" hidden="1">
      <c r="A217" s="110">
        <v>36</v>
      </c>
      <c r="B217" s="100" t="s">
        <v>221</v>
      </c>
      <c r="C217" s="2"/>
      <c r="D217" s="2"/>
      <c r="E217" s="2"/>
      <c r="F217" s="2"/>
      <c r="H217" s="250">
        <v>29200</v>
      </c>
    </row>
    <row r="218" spans="1:8" ht="12.75" hidden="1">
      <c r="A218" s="110">
        <v>37</v>
      </c>
      <c r="B218" s="100" t="s">
        <v>222</v>
      </c>
      <c r="C218" s="2"/>
      <c r="D218" s="2"/>
      <c r="E218" s="2"/>
      <c r="F218" s="2"/>
      <c r="H218" s="250">
        <v>29950</v>
      </c>
    </row>
    <row r="219" spans="1:8" ht="12.75" hidden="1">
      <c r="A219" s="110">
        <v>38</v>
      </c>
      <c r="B219" s="100" t="s">
        <v>223</v>
      </c>
      <c r="C219" s="2"/>
      <c r="D219" s="2"/>
      <c r="E219" s="2"/>
      <c r="F219" s="2"/>
      <c r="H219" s="250">
        <v>30750</v>
      </c>
    </row>
    <row r="220" spans="1:8" ht="12.75" hidden="1">
      <c r="A220" s="110">
        <v>39</v>
      </c>
      <c r="B220" s="100" t="s">
        <v>224</v>
      </c>
      <c r="C220" s="2"/>
      <c r="D220" s="2"/>
      <c r="E220" s="2"/>
      <c r="F220" s="2"/>
      <c r="H220" s="250">
        <v>31550</v>
      </c>
    </row>
    <row r="221" spans="1:8" ht="12.75" hidden="1">
      <c r="A221" s="110">
        <v>40</v>
      </c>
      <c r="B221" s="100" t="s">
        <v>225</v>
      </c>
      <c r="C221" s="2"/>
      <c r="D221" s="2"/>
      <c r="E221" s="2"/>
      <c r="F221" s="2"/>
      <c r="H221" s="250">
        <v>32350</v>
      </c>
    </row>
    <row r="222" spans="1:8" ht="12.75" hidden="1">
      <c r="A222" s="110">
        <v>41</v>
      </c>
      <c r="B222" s="100" t="s">
        <v>226</v>
      </c>
      <c r="C222" s="2"/>
      <c r="D222" s="2"/>
      <c r="E222" s="2"/>
      <c r="F222" s="2"/>
      <c r="H222" s="250">
        <v>33200</v>
      </c>
    </row>
    <row r="223" spans="1:8" ht="12.75" hidden="1">
      <c r="A223" s="110">
        <v>42</v>
      </c>
      <c r="B223" s="100" t="s">
        <v>227</v>
      </c>
      <c r="C223" s="2"/>
      <c r="D223" s="2"/>
      <c r="E223" s="2"/>
      <c r="F223" s="2"/>
      <c r="H223" s="250">
        <v>34050</v>
      </c>
    </row>
    <row r="224" spans="1:8" ht="12.75" hidden="1">
      <c r="A224" s="110">
        <v>43</v>
      </c>
      <c r="B224" s="100" t="s">
        <v>228</v>
      </c>
      <c r="C224" s="2"/>
      <c r="D224" s="2"/>
      <c r="E224" s="2"/>
      <c r="F224" s="2"/>
      <c r="H224" s="250">
        <v>34900</v>
      </c>
    </row>
    <row r="225" spans="1:8" ht="12.75" hidden="1">
      <c r="A225" s="110">
        <v>44</v>
      </c>
      <c r="B225" s="100" t="s">
        <v>229</v>
      </c>
      <c r="C225" s="2"/>
      <c r="D225" s="2"/>
      <c r="E225" s="2"/>
      <c r="F225" s="2"/>
      <c r="H225" s="250">
        <v>35800</v>
      </c>
    </row>
    <row r="226" spans="1:8" ht="12.75" hidden="1">
      <c r="A226" s="110">
        <v>45</v>
      </c>
      <c r="B226" s="100" t="s">
        <v>230</v>
      </c>
      <c r="C226" s="2"/>
      <c r="D226" s="2"/>
      <c r="E226" s="2"/>
      <c r="F226" s="2"/>
      <c r="H226" s="250">
        <v>36700</v>
      </c>
    </row>
    <row r="227" spans="1:8" ht="12.75" hidden="1">
      <c r="A227" s="110">
        <v>46</v>
      </c>
      <c r="B227" s="100" t="s">
        <v>231</v>
      </c>
      <c r="C227" s="2"/>
      <c r="D227" s="2"/>
      <c r="E227" s="2"/>
      <c r="F227" s="2"/>
      <c r="H227" s="250">
        <v>37600</v>
      </c>
    </row>
    <row r="228" spans="1:8" ht="12.75" hidden="1">
      <c r="A228" s="110">
        <v>47</v>
      </c>
      <c r="B228" s="100" t="s">
        <v>183</v>
      </c>
      <c r="C228" s="2"/>
      <c r="D228" s="2"/>
      <c r="E228" s="2"/>
      <c r="F228" s="2"/>
      <c r="H228" s="250">
        <v>38570</v>
      </c>
    </row>
    <row r="229" spans="1:8" ht="12.75" hidden="1">
      <c r="A229" s="110">
        <v>48</v>
      </c>
      <c r="B229" s="100" t="s">
        <v>232</v>
      </c>
      <c r="C229" s="2"/>
      <c r="D229" s="2"/>
      <c r="E229" s="2"/>
      <c r="F229" s="2"/>
      <c r="H229" s="250">
        <v>39540</v>
      </c>
    </row>
    <row r="230" spans="1:6" ht="12.75" hidden="1">
      <c r="A230" s="110">
        <v>49</v>
      </c>
      <c r="B230" s="100" t="s">
        <v>233</v>
      </c>
      <c r="C230" s="2"/>
      <c r="D230" s="2"/>
      <c r="E230" s="2"/>
      <c r="F230" s="2"/>
    </row>
    <row r="231" spans="1:6" ht="12.75" hidden="1">
      <c r="A231" s="110">
        <v>50</v>
      </c>
      <c r="B231" s="100" t="s">
        <v>234</v>
      </c>
      <c r="C231" s="2"/>
      <c r="D231" s="2"/>
      <c r="E231" s="2"/>
      <c r="F231" s="2"/>
    </row>
    <row r="232" spans="1:6" ht="12.75" hidden="1">
      <c r="A232" s="110">
        <v>51</v>
      </c>
      <c r="B232" s="100" t="s">
        <v>235</v>
      </c>
      <c r="C232" s="2"/>
      <c r="D232" s="2"/>
      <c r="E232" s="2"/>
      <c r="F232" s="2"/>
    </row>
    <row r="233" spans="1:6" ht="12.75" hidden="1">
      <c r="A233" s="110">
        <v>52</v>
      </c>
      <c r="B233" s="100" t="s">
        <v>236</v>
      </c>
      <c r="C233" s="2"/>
      <c r="D233" s="2"/>
      <c r="E233" s="2"/>
      <c r="F233" s="2"/>
    </row>
    <row r="234" spans="1:6" ht="12.75" hidden="1">
      <c r="A234" s="110">
        <v>53</v>
      </c>
      <c r="B234" s="100" t="s">
        <v>237</v>
      </c>
      <c r="C234" s="2"/>
      <c r="D234" s="2"/>
      <c r="E234" s="2"/>
      <c r="F234" s="2"/>
    </row>
    <row r="235" spans="1:6" ht="12.75" hidden="1">
      <c r="A235" s="110">
        <v>54</v>
      </c>
      <c r="B235" s="100" t="s">
        <v>238</v>
      </c>
      <c r="C235" s="2"/>
      <c r="D235" s="2"/>
      <c r="E235" s="2"/>
      <c r="F235" s="2"/>
    </row>
    <row r="236" spans="1:6" ht="12.75" hidden="1">
      <c r="A236" s="110">
        <v>55</v>
      </c>
      <c r="B236" s="100" t="s">
        <v>239</v>
      </c>
      <c r="C236" s="2"/>
      <c r="D236" s="2"/>
      <c r="E236" s="2"/>
      <c r="F236" s="2"/>
    </row>
    <row r="237" spans="1:6" ht="12.75" hidden="1">
      <c r="A237" s="110">
        <v>56</v>
      </c>
      <c r="B237" s="100" t="s">
        <v>240</v>
      </c>
      <c r="C237" s="2"/>
      <c r="D237" s="2"/>
      <c r="E237" s="2"/>
      <c r="F237" s="2"/>
    </row>
    <row r="238" spans="1:6" ht="12.75" hidden="1">
      <c r="A238" s="110">
        <v>57</v>
      </c>
      <c r="B238" s="100" t="s">
        <v>241</v>
      </c>
      <c r="C238" s="2"/>
      <c r="D238" s="2"/>
      <c r="E238" s="2"/>
      <c r="F238" s="2"/>
    </row>
    <row r="239" spans="1:6" ht="12.75" hidden="1">
      <c r="A239" s="110">
        <v>58</v>
      </c>
      <c r="B239" s="100" t="s">
        <v>242</v>
      </c>
      <c r="C239" s="2"/>
      <c r="D239" s="2"/>
      <c r="E239" s="2"/>
      <c r="F239" s="2"/>
    </row>
    <row r="240" spans="1:6" ht="12.75" hidden="1">
      <c r="A240" s="110">
        <v>59</v>
      </c>
      <c r="B240" s="100" t="s">
        <v>243</v>
      </c>
      <c r="C240" s="2"/>
      <c r="D240" s="2"/>
      <c r="E240" s="2"/>
      <c r="F240" s="2"/>
    </row>
    <row r="241" spans="1:6" ht="12.75" hidden="1">
      <c r="A241" s="110">
        <v>60</v>
      </c>
      <c r="B241" s="100" t="s">
        <v>244</v>
      </c>
      <c r="C241" s="2"/>
      <c r="D241" s="2"/>
      <c r="E241" s="2"/>
      <c r="F241" s="2"/>
    </row>
    <row r="242" spans="1:6" ht="12.75" hidden="1">
      <c r="A242" s="110">
        <v>61</v>
      </c>
      <c r="B242" s="100" t="s">
        <v>245</v>
      </c>
      <c r="C242" s="2"/>
      <c r="D242" s="2"/>
      <c r="E242" s="2"/>
      <c r="F242" s="2"/>
    </row>
    <row r="243" spans="1:6" ht="12.75" hidden="1">
      <c r="A243" s="110">
        <v>62</v>
      </c>
      <c r="B243" s="100" t="s">
        <v>246</v>
      </c>
      <c r="C243" s="2"/>
      <c r="D243" s="2"/>
      <c r="E243" s="2"/>
      <c r="F243" s="2"/>
    </row>
    <row r="244" spans="1:6" ht="12.75" hidden="1">
      <c r="A244" s="110">
        <v>63</v>
      </c>
      <c r="B244" s="100" t="s">
        <v>247</v>
      </c>
      <c r="C244" s="2"/>
      <c r="D244" s="2"/>
      <c r="E244" s="2"/>
      <c r="F244" s="2"/>
    </row>
    <row r="245" spans="1:6" ht="12.75" hidden="1">
      <c r="A245" s="110">
        <v>64</v>
      </c>
      <c r="B245" s="100" t="s">
        <v>248</v>
      </c>
      <c r="C245" s="2"/>
      <c r="D245" s="2"/>
      <c r="E245" s="2"/>
      <c r="F245" s="2"/>
    </row>
    <row r="246" spans="1:6" ht="12.75" hidden="1">
      <c r="A246" s="110">
        <v>65</v>
      </c>
      <c r="B246" s="100" t="s">
        <v>249</v>
      </c>
      <c r="C246" s="2"/>
      <c r="D246" s="2"/>
      <c r="E246" s="2"/>
      <c r="F246" s="2"/>
    </row>
    <row r="247" spans="1:6" ht="12.75" hidden="1">
      <c r="A247" s="110">
        <v>66</v>
      </c>
      <c r="B247" s="100" t="s">
        <v>250</v>
      </c>
      <c r="C247" s="2"/>
      <c r="D247" s="2"/>
      <c r="E247" s="2"/>
      <c r="F247" s="2"/>
    </row>
    <row r="248" spans="1:6" ht="12.75" hidden="1">
      <c r="A248" s="110">
        <v>67</v>
      </c>
      <c r="B248" s="100" t="s">
        <v>251</v>
      </c>
      <c r="C248" s="2"/>
      <c r="D248" s="2"/>
      <c r="E248" s="2"/>
      <c r="F248" s="2"/>
    </row>
    <row r="249" spans="1:6" ht="12.75" hidden="1">
      <c r="A249" s="110">
        <v>68</v>
      </c>
      <c r="B249" s="100" t="s">
        <v>252</v>
      </c>
      <c r="C249" s="2"/>
      <c r="D249" s="2"/>
      <c r="E249" s="2"/>
      <c r="F249" s="2"/>
    </row>
    <row r="250" spans="1:6" ht="12.75" hidden="1">
      <c r="A250" s="110">
        <v>69</v>
      </c>
      <c r="B250" s="100" t="s">
        <v>253</v>
      </c>
      <c r="C250" s="2"/>
      <c r="D250" s="2"/>
      <c r="E250" s="2"/>
      <c r="F250" s="2"/>
    </row>
    <row r="251" spans="1:6" ht="12.75" hidden="1">
      <c r="A251" s="110">
        <v>70</v>
      </c>
      <c r="B251" s="100" t="s">
        <v>254</v>
      </c>
      <c r="C251" s="2"/>
      <c r="D251" s="2"/>
      <c r="E251" s="2"/>
      <c r="F251" s="2"/>
    </row>
    <row r="252" spans="1:6" ht="12.75" hidden="1">
      <c r="A252" s="110">
        <v>71</v>
      </c>
      <c r="B252" s="100" t="s">
        <v>255</v>
      </c>
      <c r="C252" s="2"/>
      <c r="D252" s="2"/>
      <c r="E252" s="2"/>
      <c r="F252" s="2"/>
    </row>
    <row r="253" spans="1:6" ht="12.75" hidden="1">
      <c r="A253" s="110">
        <v>72</v>
      </c>
      <c r="B253" s="100" t="s">
        <v>256</v>
      </c>
      <c r="C253" s="2"/>
      <c r="D253" s="2"/>
      <c r="E253" s="2"/>
      <c r="F253" s="2"/>
    </row>
    <row r="254" spans="1:6" ht="12.75" hidden="1">
      <c r="A254" s="110">
        <v>73</v>
      </c>
      <c r="B254" s="100" t="s">
        <v>257</v>
      </c>
      <c r="C254" s="2"/>
      <c r="D254" s="2"/>
      <c r="E254" s="2"/>
      <c r="F254" s="2"/>
    </row>
    <row r="255" spans="1:6" ht="12.75" hidden="1">
      <c r="A255" s="110">
        <v>74</v>
      </c>
      <c r="B255" s="100" t="s">
        <v>258</v>
      </c>
      <c r="C255" s="2"/>
      <c r="D255" s="2"/>
      <c r="E255" s="2"/>
      <c r="F255" s="2"/>
    </row>
    <row r="256" spans="1:6" ht="12.75" hidden="1">
      <c r="A256" s="110">
        <v>75</v>
      </c>
      <c r="B256" s="100" t="s">
        <v>259</v>
      </c>
      <c r="C256" s="2"/>
      <c r="D256" s="2"/>
      <c r="E256" s="2"/>
      <c r="F256" s="2"/>
    </row>
    <row r="257" spans="1:6" ht="12.75" hidden="1">
      <c r="A257" s="110">
        <v>76</v>
      </c>
      <c r="B257" s="100" t="s">
        <v>260</v>
      </c>
      <c r="C257" s="2"/>
      <c r="D257" s="2"/>
      <c r="E257" s="2"/>
      <c r="F257" s="2"/>
    </row>
    <row r="258" spans="1:6" ht="12.75" hidden="1">
      <c r="A258" s="110">
        <v>77</v>
      </c>
      <c r="B258" s="100" t="s">
        <v>261</v>
      </c>
      <c r="C258" s="2"/>
      <c r="D258" s="2"/>
      <c r="E258" s="2"/>
      <c r="F258" s="2"/>
    </row>
    <row r="259" spans="1:6" ht="12.75" hidden="1">
      <c r="A259" s="110">
        <v>78</v>
      </c>
      <c r="B259" s="100" t="s">
        <v>262</v>
      </c>
      <c r="C259" s="2"/>
      <c r="D259" s="2"/>
      <c r="E259" s="2"/>
      <c r="F259" s="2"/>
    </row>
    <row r="260" spans="1:6" ht="12.75" hidden="1">
      <c r="A260" s="110">
        <v>79</v>
      </c>
      <c r="B260" s="100" t="s">
        <v>263</v>
      </c>
      <c r="C260" s="2"/>
      <c r="D260" s="2"/>
      <c r="E260" s="2"/>
      <c r="F260" s="2"/>
    </row>
    <row r="261" spans="1:6" ht="12.75" hidden="1">
      <c r="A261" s="110">
        <v>80</v>
      </c>
      <c r="B261" s="100" t="s">
        <v>264</v>
      </c>
      <c r="C261" s="2"/>
      <c r="D261" s="2"/>
      <c r="E261" s="2"/>
      <c r="F261" s="2"/>
    </row>
    <row r="262" spans="1:6" ht="12.75" hidden="1">
      <c r="A262" s="110">
        <v>81</v>
      </c>
      <c r="B262" s="100" t="s">
        <v>265</v>
      </c>
      <c r="C262" s="2"/>
      <c r="D262" s="2"/>
      <c r="E262" s="2"/>
      <c r="F262" s="2"/>
    </row>
    <row r="263" spans="1:6" ht="12.75" hidden="1">
      <c r="A263" s="110">
        <v>82</v>
      </c>
      <c r="B263" s="100" t="s">
        <v>266</v>
      </c>
      <c r="C263" s="2"/>
      <c r="D263" s="2"/>
      <c r="E263" s="2"/>
      <c r="F263" s="2"/>
    </row>
    <row r="264" spans="1:6" ht="12.75" hidden="1">
      <c r="A264" s="110">
        <v>83</v>
      </c>
      <c r="B264" s="100" t="s">
        <v>267</v>
      </c>
      <c r="C264" s="2"/>
      <c r="D264" s="2"/>
      <c r="E264" s="2"/>
      <c r="F264" s="2"/>
    </row>
    <row r="265" spans="1:6" ht="12.75" hidden="1">
      <c r="A265" s="110">
        <v>84</v>
      </c>
      <c r="B265" s="100" t="s">
        <v>268</v>
      </c>
      <c r="C265" s="2"/>
      <c r="D265" s="2"/>
      <c r="E265" s="2"/>
      <c r="F265" s="2"/>
    </row>
    <row r="266" spans="1:6" ht="12.75" hidden="1">
      <c r="A266" s="110">
        <v>85</v>
      </c>
      <c r="B266" s="100" t="s">
        <v>269</v>
      </c>
      <c r="C266" s="2"/>
      <c r="D266" s="2"/>
      <c r="E266" s="2"/>
      <c r="F266" s="2"/>
    </row>
    <row r="267" spans="1:6" ht="12.75" hidden="1">
      <c r="A267" s="110">
        <v>86</v>
      </c>
      <c r="B267" s="100" t="s">
        <v>270</v>
      </c>
      <c r="C267" s="2"/>
      <c r="D267" s="2"/>
      <c r="E267" s="2"/>
      <c r="F267" s="2"/>
    </row>
    <row r="268" spans="1:6" ht="12.75" hidden="1">
      <c r="A268" s="110">
        <v>87</v>
      </c>
      <c r="B268" s="100" t="s">
        <v>271</v>
      </c>
      <c r="C268" s="2"/>
      <c r="D268" s="2"/>
      <c r="E268" s="2"/>
      <c r="F268" s="2"/>
    </row>
    <row r="269" spans="1:6" ht="12.75" hidden="1">
      <c r="A269" s="110">
        <v>88</v>
      </c>
      <c r="B269" s="100" t="s">
        <v>272</v>
      </c>
      <c r="C269" s="2"/>
      <c r="D269" s="2"/>
      <c r="E269" s="2"/>
      <c r="F269" s="2"/>
    </row>
    <row r="270" spans="1:6" ht="12.75" hidden="1">
      <c r="A270" s="110">
        <v>89</v>
      </c>
      <c r="B270" s="100" t="s">
        <v>273</v>
      </c>
      <c r="C270" s="2"/>
      <c r="D270" s="2"/>
      <c r="E270" s="2"/>
      <c r="F270" s="2"/>
    </row>
    <row r="271" spans="1:6" ht="12.75" hidden="1">
      <c r="A271" s="110">
        <v>90</v>
      </c>
      <c r="B271" s="100" t="s">
        <v>274</v>
      </c>
      <c r="C271" s="2"/>
      <c r="D271" s="2"/>
      <c r="E271" s="2"/>
      <c r="F271" s="2"/>
    </row>
    <row r="272" spans="1:6" ht="12.75" hidden="1">
      <c r="A272" s="110">
        <v>91</v>
      </c>
      <c r="B272" s="100" t="s">
        <v>275</v>
      </c>
      <c r="C272" s="2"/>
      <c r="D272" s="2"/>
      <c r="E272" s="2"/>
      <c r="F272" s="2"/>
    </row>
    <row r="273" spans="1:6" ht="12.75" hidden="1">
      <c r="A273" s="110">
        <v>92</v>
      </c>
      <c r="B273" s="100" t="s">
        <v>276</v>
      </c>
      <c r="C273" s="2"/>
      <c r="D273" s="2"/>
      <c r="E273" s="2"/>
      <c r="F273" s="2"/>
    </row>
    <row r="274" spans="1:6" ht="12.75" hidden="1">
      <c r="A274" s="110">
        <v>93</v>
      </c>
      <c r="B274" s="100" t="s">
        <v>277</v>
      </c>
      <c r="C274" s="2"/>
      <c r="D274" s="2"/>
      <c r="E274" s="2"/>
      <c r="F274" s="2"/>
    </row>
    <row r="275" spans="1:6" ht="12.75" hidden="1">
      <c r="A275" s="110">
        <v>94</v>
      </c>
      <c r="B275" s="100" t="s">
        <v>278</v>
      </c>
      <c r="C275" s="2"/>
      <c r="D275" s="2"/>
      <c r="E275" s="2"/>
      <c r="F275" s="2"/>
    </row>
    <row r="276" spans="1:6" ht="12.75" hidden="1">
      <c r="A276" s="110">
        <v>95</v>
      </c>
      <c r="B276" s="100" t="s">
        <v>279</v>
      </c>
      <c r="C276" s="2"/>
      <c r="D276" s="2"/>
      <c r="E276" s="2"/>
      <c r="F276" s="2"/>
    </row>
    <row r="277" spans="1:6" ht="12.75" hidden="1">
      <c r="A277" s="110">
        <v>96</v>
      </c>
      <c r="B277" s="100" t="s">
        <v>280</v>
      </c>
      <c r="C277" s="2"/>
      <c r="D277" s="2"/>
      <c r="E277" s="2"/>
      <c r="F277" s="2"/>
    </row>
    <row r="278" spans="1:6" ht="12.75" hidden="1">
      <c r="A278" s="110">
        <v>97</v>
      </c>
      <c r="B278" s="100" t="s">
        <v>184</v>
      </c>
      <c r="C278" s="2"/>
      <c r="D278" s="2"/>
      <c r="E278" s="2"/>
      <c r="F278" s="2"/>
    </row>
    <row r="279" spans="1:6" ht="12.75" hidden="1">
      <c r="A279" s="110">
        <v>98</v>
      </c>
      <c r="B279" s="100" t="s">
        <v>281</v>
      </c>
      <c r="C279" s="2"/>
      <c r="D279" s="2"/>
      <c r="E279" s="2"/>
      <c r="F279" s="2"/>
    </row>
    <row r="280" spans="1:6" ht="13.5" hidden="1" thickBot="1">
      <c r="A280" s="111">
        <v>99</v>
      </c>
      <c r="B280" s="101" t="s">
        <v>282</v>
      </c>
      <c r="C280" s="2"/>
      <c r="D280" s="2"/>
      <c r="E280" s="2"/>
      <c r="F280" s="2"/>
    </row>
    <row r="281" ht="12.75" hidden="1"/>
  </sheetData>
  <sheetProtection/>
  <mergeCells count="65">
    <mergeCell ref="J29:J30"/>
    <mergeCell ref="K29:K30"/>
    <mergeCell ref="A2:Q2"/>
    <mergeCell ref="M27:P27"/>
    <mergeCell ref="M29:P29"/>
    <mergeCell ref="E44:F44"/>
    <mergeCell ref="B46:C46"/>
    <mergeCell ref="E46:F46"/>
    <mergeCell ref="I3:J4"/>
    <mergeCell ref="K3:L4"/>
    <mergeCell ref="M3:N4"/>
    <mergeCell ref="M31:P31"/>
    <mergeCell ref="M33:P33"/>
    <mergeCell ref="M35:P35"/>
    <mergeCell ref="O3:P4"/>
    <mergeCell ref="B81:F81"/>
    <mergeCell ref="E69:F69"/>
    <mergeCell ref="A79:F79"/>
    <mergeCell ref="A40:F40"/>
    <mergeCell ref="A64:F64"/>
    <mergeCell ref="B65:F65"/>
    <mergeCell ref="A71:F71"/>
    <mergeCell ref="B48:C48"/>
    <mergeCell ref="E48:F48"/>
    <mergeCell ref="B44:C44"/>
    <mergeCell ref="E120:F120"/>
    <mergeCell ref="A38:F39"/>
    <mergeCell ref="E42:F42"/>
    <mergeCell ref="B50:C50"/>
    <mergeCell ref="E50:F50"/>
    <mergeCell ref="E52:F52"/>
    <mergeCell ref="E54:F54"/>
    <mergeCell ref="B73:F73"/>
    <mergeCell ref="E56:F56"/>
    <mergeCell ref="B83:F83"/>
    <mergeCell ref="A145:F145"/>
    <mergeCell ref="B147:F147"/>
    <mergeCell ref="E126:F126"/>
    <mergeCell ref="E128:F128"/>
    <mergeCell ref="A112:F113"/>
    <mergeCell ref="A114:F114"/>
    <mergeCell ref="E116:F116"/>
    <mergeCell ref="B118:C118"/>
    <mergeCell ref="E118:F118"/>
    <mergeCell ref="B120:C120"/>
    <mergeCell ref="B155:F155"/>
    <mergeCell ref="B122:C122"/>
    <mergeCell ref="E122:F122"/>
    <mergeCell ref="B124:C124"/>
    <mergeCell ref="E124:F124"/>
    <mergeCell ref="B157:F157"/>
    <mergeCell ref="E130:F130"/>
    <mergeCell ref="A138:F138"/>
    <mergeCell ref="B139:F139"/>
    <mergeCell ref="E143:F143"/>
    <mergeCell ref="A180:B180"/>
    <mergeCell ref="B3:B4"/>
    <mergeCell ref="C3:C4"/>
    <mergeCell ref="A1:H1"/>
    <mergeCell ref="I1:M1"/>
    <mergeCell ref="N1:Q1"/>
    <mergeCell ref="A3:A36"/>
    <mergeCell ref="Q3:Q36"/>
    <mergeCell ref="B36:P36"/>
    <mergeCell ref="A153:F153"/>
  </mergeCells>
  <conditionalFormatting sqref="A164:F175 B177">
    <cfRule type="cellIs" priority="1" dxfId="0" operator="equal" stopIfTrue="1">
      <formula>0</formula>
    </cfRule>
  </conditionalFormatting>
  <dataValidations count="7">
    <dataValidation type="list" allowBlank="1" showInputMessage="1" showErrorMessage="1" sqref="R18:IV18">
      <formula1>$B$96:$B$99</formula1>
    </dataValidation>
    <dataValidation type="list" allowBlank="1" showInputMessage="1" showErrorMessage="1" sqref="E14:P14 E19:P19">
      <formula1>$B$101:$B$110</formula1>
    </dataValidation>
    <dataValidation type="list" allowBlank="1" showInputMessage="1" showErrorMessage="1" sqref="I27">
      <formula1>$E$95:$E$100</formula1>
    </dataValidation>
    <dataValidation type="list" allowBlank="1" showInputMessage="1" showErrorMessage="1" sqref="E13:P13 E18:P18">
      <formula1>$B$96:$B$100</formula1>
    </dataValidation>
    <dataValidation type="list" allowBlank="1" showInputMessage="1" showErrorMessage="1" sqref="K29:K30">
      <formula1>$G$164:$G$173</formula1>
    </dataValidation>
    <dataValidation type="list" allowBlank="1" showInputMessage="1" showErrorMessage="1" sqref="E21:P21">
      <formula1>$H$164:$H$230</formula1>
    </dataValidation>
    <dataValidation type="list" allowBlank="1" showInputMessage="1" showErrorMessage="1" sqref="E8:P8">
      <formula1>$G$191:$G$220</formula1>
    </dataValidation>
  </dataValidations>
  <hyperlinks>
    <hyperlink ref="M29:O29" r:id="rId1" display="Software for undertaking for EHS Updated on 17 Dec 2013 as per GO.343, Dt:17.12.13"/>
    <hyperlink ref="M33" r:id="rId2" display="http://www.4shared.com/document/fnCOhxDN/maruthi__AAS2003.html"/>
    <hyperlink ref="M35" r:id="rId3" display="http://www.4shared.com/file/E7M8rS45/maruthi__AAS.html"/>
  </hyperlinks>
  <printOptions/>
  <pageMargins left="0.7" right="0.7" top="0.46" bottom="0.4" header="0.3" footer="0.3"/>
  <pageSetup horizontalDpi="600" verticalDpi="600" orientation="portrait" r:id="rId7"/>
  <ignoredErrors>
    <ignoredError sqref="E7:F7" numberStoredAsText="1"/>
  </ignoredErrors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AE64"/>
  <sheetViews>
    <sheetView zoomScalePageLayoutView="0" workbookViewId="0" topLeftCell="A43">
      <selection activeCell="B49" sqref="B49:M49"/>
    </sheetView>
  </sheetViews>
  <sheetFormatPr defaultColWidth="9.140625" defaultRowHeight="12.75"/>
  <cols>
    <col min="1" max="1" width="0.71875" style="0" customWidth="1"/>
    <col min="2" max="2" width="17.140625" style="0" customWidth="1"/>
    <col min="3" max="3" width="6.140625" style="0" customWidth="1"/>
    <col min="4" max="4" width="5.7109375" style="0" customWidth="1"/>
    <col min="5" max="5" width="6.28125" style="0" customWidth="1"/>
    <col min="6" max="6" width="5.28125" style="0" customWidth="1"/>
    <col min="7" max="7" width="3.421875" style="0" customWidth="1"/>
    <col min="8" max="8" width="3.57421875" style="0" customWidth="1"/>
    <col min="9" max="10" width="4.7109375" style="0" customWidth="1"/>
    <col min="11" max="11" width="4.8515625" style="0" customWidth="1"/>
    <col min="12" max="12" width="5.140625" style="0" customWidth="1"/>
    <col min="13" max="13" width="4.8515625" style="0" customWidth="1"/>
    <col min="14" max="14" width="4.421875" style="0" customWidth="1"/>
    <col min="15" max="15" width="4.8515625" style="0" customWidth="1"/>
    <col min="16" max="16" width="4.7109375" style="0" customWidth="1"/>
    <col min="17" max="17" width="0.71875" style="0" customWidth="1"/>
  </cols>
  <sheetData>
    <row r="1" spans="1:17" ht="3.75" customHeight="1">
      <c r="A1" s="188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60"/>
    </row>
    <row r="2" spans="1:18" ht="21" customHeight="1">
      <c r="A2" s="145"/>
      <c r="B2" s="407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12"/>
      <c r="R2" s="2"/>
    </row>
    <row r="3" spans="1:18" ht="15" customHeight="1">
      <c r="A3" s="145"/>
      <c r="B3" s="409" t="s">
        <v>102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12"/>
      <c r="R3" s="2"/>
    </row>
    <row r="4" spans="1:17" ht="12.75" customHeight="1">
      <c r="A4" s="145"/>
      <c r="B4" s="31" t="s">
        <v>103</v>
      </c>
      <c r="C4" s="5" t="str">
        <f>'101&amp;Paper'!M41</f>
        <v>0</v>
      </c>
      <c r="D4" s="5" t="str">
        <f>'101&amp;Paper'!N41</f>
        <v>7</v>
      </c>
      <c r="E4" s="5" t="str">
        <f>'101&amp;Paper'!O41</f>
        <v>0</v>
      </c>
      <c r="F4" s="5" t="str">
        <f>'101&amp;Paper'!P41</f>
        <v>5</v>
      </c>
      <c r="G4" s="31"/>
      <c r="H4" s="31"/>
      <c r="I4" s="31"/>
      <c r="J4" s="31"/>
      <c r="K4" s="404" t="s">
        <v>104</v>
      </c>
      <c r="L4" s="404"/>
      <c r="M4" s="404"/>
      <c r="N4" s="404"/>
      <c r="O4" s="404"/>
      <c r="P4" s="404"/>
      <c r="Q4" s="12"/>
    </row>
    <row r="5" spans="1:17" ht="12.75" customHeight="1">
      <c r="A5" s="145"/>
      <c r="B5" s="31" t="s">
        <v>105</v>
      </c>
      <c r="C5" s="412" t="str">
        <f>DATA!G28</f>
        <v>STO, DARSI</v>
      </c>
      <c r="D5" s="412"/>
      <c r="E5" s="412"/>
      <c r="F5" s="412"/>
      <c r="G5" s="31"/>
      <c r="H5" s="31"/>
      <c r="I5" s="31"/>
      <c r="J5" s="31"/>
      <c r="K5" s="34" t="s">
        <v>106</v>
      </c>
      <c r="L5" s="34"/>
      <c r="M5" s="34"/>
      <c r="N5" s="34"/>
      <c r="O5" s="34"/>
      <c r="P5" s="34"/>
      <c r="Q5" s="12"/>
    </row>
    <row r="6" spans="1:17" ht="12.75" customHeight="1">
      <c r="A6" s="145"/>
      <c r="B6" s="31" t="s">
        <v>180</v>
      </c>
      <c r="C6" s="410" t="str">
        <f>DATA!G29</f>
        <v>07050308033</v>
      </c>
      <c r="D6" s="410"/>
      <c r="E6" s="410"/>
      <c r="F6" s="410"/>
      <c r="G6" s="31"/>
      <c r="H6" s="31"/>
      <c r="I6" s="31"/>
      <c r="J6" s="31"/>
      <c r="K6" s="34" t="s">
        <v>107</v>
      </c>
      <c r="L6" s="34"/>
      <c r="M6" s="392"/>
      <c r="N6" s="392"/>
      <c r="O6" s="392"/>
      <c r="P6" s="392"/>
      <c r="Q6" s="12"/>
    </row>
    <row r="7" spans="1:17" ht="4.5" customHeight="1">
      <c r="A7" s="145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2"/>
    </row>
    <row r="8" spans="1:17" ht="12.75" customHeight="1">
      <c r="A8" s="145"/>
      <c r="B8" s="31" t="s">
        <v>108</v>
      </c>
      <c r="C8" s="402" t="str">
        <f>DATA!I27</f>
        <v>GAZ. HEAD MASTER</v>
      </c>
      <c r="D8" s="402"/>
      <c r="E8" s="402"/>
      <c r="G8" s="197" t="str">
        <f>CONCATENATE("    DDO OFFICE NAME : ",DATA!I35)</f>
        <v>    DDO OFFICE NAME : Z.P.H.S, MANGINAPUDI</v>
      </c>
      <c r="H8" s="198"/>
      <c r="I8" s="198"/>
      <c r="J8" s="198"/>
      <c r="K8" s="198"/>
      <c r="L8" s="198"/>
      <c r="M8" s="198"/>
      <c r="N8" s="198"/>
      <c r="O8" s="198"/>
      <c r="P8" s="31"/>
      <c r="Q8" s="12"/>
    </row>
    <row r="9" spans="1:17" ht="4.5" customHeight="1">
      <c r="A9" s="145"/>
      <c r="B9" s="31"/>
      <c r="C9" s="33"/>
      <c r="D9" s="33"/>
      <c r="E9" s="33"/>
      <c r="F9" s="33"/>
      <c r="G9" s="31"/>
      <c r="H9" s="31"/>
      <c r="I9" s="31"/>
      <c r="J9" s="31"/>
      <c r="K9" s="31"/>
      <c r="L9" s="31"/>
      <c r="M9" s="31"/>
      <c r="N9" s="31"/>
      <c r="O9" s="31"/>
      <c r="P9" s="31"/>
      <c r="Q9" s="12"/>
    </row>
    <row r="10" spans="1:17" ht="12.75" customHeight="1">
      <c r="A10" s="145"/>
      <c r="B10" s="202" t="s">
        <v>109</v>
      </c>
      <c r="C10" s="212" t="str">
        <f>MID(DATA!E31,1,1)</f>
        <v>3</v>
      </c>
      <c r="D10" s="212" t="str">
        <f>MID(DATA!E31,2,1)</f>
        <v>6</v>
      </c>
      <c r="E10" s="212" t="str">
        <f>MID(DATA!E31,3,1)</f>
        <v>4</v>
      </c>
      <c r="F10" s="212" t="str">
        <f>MID(DATA!E31,4,1)</f>
        <v>1</v>
      </c>
      <c r="G10" s="31"/>
      <c r="H10" s="402" t="str">
        <f>CONCATENATE("Name : ",DATA!E27)</f>
        <v>Name : SYNDICATE BANK, DARSI</v>
      </c>
      <c r="I10" s="402"/>
      <c r="J10" s="402"/>
      <c r="K10" s="402"/>
      <c r="L10" s="402"/>
      <c r="M10" s="402"/>
      <c r="N10" s="402"/>
      <c r="O10" s="402"/>
      <c r="P10" s="402"/>
      <c r="Q10" s="12"/>
    </row>
    <row r="11" spans="1:17" ht="4.5" customHeight="1">
      <c r="A11" s="145"/>
      <c r="B11" s="31"/>
      <c r="C11" s="33"/>
      <c r="D11" s="33"/>
      <c r="E11" s="33"/>
      <c r="F11" s="33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12"/>
    </row>
    <row r="12" spans="1:17" ht="12.75" customHeight="1">
      <c r="A12" s="145"/>
      <c r="B12" s="31" t="s">
        <v>110</v>
      </c>
      <c r="C12" s="29" t="str">
        <f>MID(DATA!G30,1,1)</f>
        <v>2</v>
      </c>
      <c r="D12" s="29" t="str">
        <f>MID(DATA!G30,2,1)</f>
        <v>2</v>
      </c>
      <c r="E12" s="29" t="str">
        <f>MID(DATA!G30,3,1)</f>
        <v>0</v>
      </c>
      <c r="F12" s="29" t="str">
        <f>MID(DATA!G30,4,1)</f>
        <v>2</v>
      </c>
      <c r="G12" s="9"/>
      <c r="H12" s="29" t="str">
        <f>MID(DATA!G31,1,1)</f>
        <v>0</v>
      </c>
      <c r="I12" s="29" t="str">
        <f>MID(DATA!G31,2,1)</f>
        <v>2</v>
      </c>
      <c r="J12" s="9"/>
      <c r="K12" s="29" t="str">
        <f>MID(DATA!G32,1,1)</f>
        <v>1</v>
      </c>
      <c r="L12" s="29" t="str">
        <f>MID(DATA!G32,2,1)</f>
        <v>9</v>
      </c>
      <c r="M12" s="29" t="str">
        <f>MID(DATA!G32,3,1)</f>
        <v>1</v>
      </c>
      <c r="N12" s="9"/>
      <c r="O12" s="29" t="str">
        <f>MID(DATA!G33,1,1)</f>
        <v>0</v>
      </c>
      <c r="P12" s="29" t="str">
        <f>MID(DATA!G33,2,1)</f>
        <v>0</v>
      </c>
      <c r="Q12" s="12"/>
    </row>
    <row r="13" spans="1:17" ht="12.75" customHeight="1">
      <c r="A13" s="145"/>
      <c r="B13" s="31"/>
      <c r="C13" s="403" t="s">
        <v>111</v>
      </c>
      <c r="D13" s="403"/>
      <c r="E13" s="403"/>
      <c r="F13" s="403"/>
      <c r="G13" s="10"/>
      <c r="H13" s="403" t="s">
        <v>112</v>
      </c>
      <c r="I13" s="403"/>
      <c r="J13" s="10"/>
      <c r="K13" s="403" t="s">
        <v>113</v>
      </c>
      <c r="L13" s="403"/>
      <c r="M13" s="403"/>
      <c r="N13" s="10"/>
      <c r="O13" s="404" t="s">
        <v>114</v>
      </c>
      <c r="P13" s="404"/>
      <c r="Q13" s="12"/>
    </row>
    <row r="14" spans="1:17" ht="4.5" customHeight="1">
      <c r="A14" s="145"/>
      <c r="B14" s="31"/>
      <c r="C14" s="35"/>
      <c r="D14" s="35"/>
      <c r="E14" s="35"/>
      <c r="F14" s="35"/>
      <c r="G14" s="10"/>
      <c r="H14" s="35"/>
      <c r="I14" s="35"/>
      <c r="J14" s="10"/>
      <c r="K14" s="35"/>
      <c r="L14" s="35"/>
      <c r="M14" s="35"/>
      <c r="N14" s="10"/>
      <c r="O14" s="9"/>
      <c r="P14" s="9"/>
      <c r="Q14" s="12"/>
    </row>
    <row r="15" spans="1:17" s="21" customFormat="1" ht="12.75" customHeight="1">
      <c r="A15" s="203"/>
      <c r="B15" s="31"/>
      <c r="C15" s="29" t="str">
        <f>MID(DATA!G34,1,1)</f>
        <v>0</v>
      </c>
      <c r="D15" s="29" t="str">
        <f>MID(DATA!G34,2,1)</f>
        <v>5</v>
      </c>
      <c r="E15" s="9"/>
      <c r="F15" s="9"/>
      <c r="G15" s="9"/>
      <c r="H15" s="29" t="str">
        <f>MID(DATA!G35,1,1)</f>
        <v>0</v>
      </c>
      <c r="I15" s="29" t="str">
        <f>MID(DATA!G35,2,1)</f>
        <v>1</v>
      </c>
      <c r="J15" s="29" t="str">
        <f>MID(DATA!G35,3,1)</f>
        <v>0</v>
      </c>
      <c r="K15" s="9"/>
      <c r="L15" s="9"/>
      <c r="M15" s="29"/>
      <c r="N15" s="29"/>
      <c r="O15" s="29"/>
      <c r="P15" s="9"/>
      <c r="Q15" s="204"/>
    </row>
    <row r="16" spans="1:17" ht="12.75" customHeight="1">
      <c r="A16" s="145"/>
      <c r="B16" s="31"/>
      <c r="C16" s="403" t="s">
        <v>115</v>
      </c>
      <c r="D16" s="403"/>
      <c r="E16" s="35"/>
      <c r="F16" s="35"/>
      <c r="G16" s="10"/>
      <c r="H16" s="403" t="s">
        <v>116</v>
      </c>
      <c r="I16" s="403"/>
      <c r="J16" s="403"/>
      <c r="K16" s="35"/>
      <c r="L16" s="35"/>
      <c r="M16" s="403" t="s">
        <v>117</v>
      </c>
      <c r="N16" s="403"/>
      <c r="O16" s="403"/>
      <c r="P16" s="9"/>
      <c r="Q16" s="12"/>
    </row>
    <row r="17" spans="1:17" ht="4.5" customHeight="1">
      <c r="A17" s="145"/>
      <c r="B17" s="31"/>
      <c r="C17" s="35"/>
      <c r="D17" s="35"/>
      <c r="E17" s="35"/>
      <c r="F17" s="35"/>
      <c r="G17" s="10"/>
      <c r="H17" s="35"/>
      <c r="I17" s="35"/>
      <c r="J17" s="35"/>
      <c r="K17" s="35"/>
      <c r="L17" s="35"/>
      <c r="M17" s="35"/>
      <c r="N17" s="35"/>
      <c r="O17" s="35"/>
      <c r="P17" s="9"/>
      <c r="Q17" s="12"/>
    </row>
    <row r="18" spans="1:17" ht="12.75" customHeight="1">
      <c r="A18" s="145"/>
      <c r="B18" s="31" t="s">
        <v>118</v>
      </c>
      <c r="C18" s="405" t="s">
        <v>54</v>
      </c>
      <c r="D18" s="405"/>
      <c r="E18" s="406" t="s">
        <v>119</v>
      </c>
      <c r="F18" s="406"/>
      <c r="G18" s="405" t="s">
        <v>56</v>
      </c>
      <c r="H18" s="406" t="s">
        <v>120</v>
      </c>
      <c r="I18" s="406"/>
      <c r="J18" s="406"/>
      <c r="K18" s="406"/>
      <c r="L18" s="406"/>
      <c r="M18" s="405">
        <v>2</v>
      </c>
      <c r="N18" s="405">
        <v>2</v>
      </c>
      <c r="O18" s="405">
        <v>0</v>
      </c>
      <c r="P18" s="405">
        <v>2</v>
      </c>
      <c r="Q18" s="12"/>
    </row>
    <row r="19" spans="1:17" ht="12.75" customHeight="1">
      <c r="A19" s="145"/>
      <c r="B19" s="31" t="s">
        <v>121</v>
      </c>
      <c r="C19" s="405"/>
      <c r="D19" s="405"/>
      <c r="E19" s="406" t="s">
        <v>122</v>
      </c>
      <c r="F19" s="406"/>
      <c r="G19" s="405"/>
      <c r="H19" s="406" t="s">
        <v>60</v>
      </c>
      <c r="I19" s="406"/>
      <c r="J19" s="406"/>
      <c r="K19" s="406"/>
      <c r="L19" s="406"/>
      <c r="M19" s="405"/>
      <c r="N19" s="405"/>
      <c r="O19" s="405"/>
      <c r="P19" s="405"/>
      <c r="Q19" s="12"/>
    </row>
    <row r="20" spans="1:17" ht="4.5" customHeight="1">
      <c r="A20" s="145"/>
      <c r="B20" s="31"/>
      <c r="C20" s="9"/>
      <c r="D20" s="9"/>
      <c r="E20" s="75"/>
      <c r="F20" s="75"/>
      <c r="G20" s="9"/>
      <c r="H20" s="75"/>
      <c r="I20" s="75"/>
      <c r="J20" s="75"/>
      <c r="K20" s="75"/>
      <c r="L20" s="75"/>
      <c r="M20" s="9"/>
      <c r="N20" s="9"/>
      <c r="O20" s="9"/>
      <c r="P20" s="9"/>
      <c r="Q20" s="12"/>
    </row>
    <row r="21" spans="1:17" ht="12.75" customHeight="1">
      <c r="A21" s="145"/>
      <c r="B21" s="196" t="s">
        <v>145</v>
      </c>
      <c r="C21" s="413">
        <f>BILL!L17</f>
        <v>4000</v>
      </c>
      <c r="D21" s="414"/>
      <c r="E21" s="400" t="s">
        <v>146</v>
      </c>
      <c r="F21" s="400"/>
      <c r="G21" s="400"/>
      <c r="H21" s="413">
        <f>BILL!U17</f>
        <v>0</v>
      </c>
      <c r="I21" s="414"/>
      <c r="J21" s="414"/>
      <c r="K21" s="400" t="s">
        <v>147</v>
      </c>
      <c r="L21" s="400"/>
      <c r="M21" s="400"/>
      <c r="N21" s="413">
        <f>BILL!V17</f>
        <v>4000</v>
      </c>
      <c r="O21" s="414"/>
      <c r="P21" s="414"/>
      <c r="Q21" s="12"/>
    </row>
    <row r="22" spans="1:17" ht="12.75" customHeight="1">
      <c r="A22" s="145"/>
      <c r="B22" s="37" t="s">
        <v>144</v>
      </c>
      <c r="C22" s="415" t="str">
        <f>'47-front'!D56</f>
        <v> FOUR  THOUSAND ONLY.</v>
      </c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12"/>
    </row>
    <row r="23" spans="1:17" ht="12.75" customHeight="1">
      <c r="A23" s="145"/>
      <c r="B23" s="392" t="str">
        <f>CONCATENATE("Messenger Name : ",DATA!I28,"                      ","Designation : ",DATA!I29)</f>
        <v>Messenger Name : M.YELLAMANDA REDDY                      Designation : S.A (M)</v>
      </c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12"/>
    </row>
    <row r="24" spans="1:31" ht="12.75" customHeight="1">
      <c r="A24" s="145"/>
      <c r="B24" s="392" t="s">
        <v>123</v>
      </c>
      <c r="C24" s="392"/>
      <c r="D24" s="392"/>
      <c r="E24" s="39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205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17" ht="12.75" customHeight="1">
      <c r="A25" s="145"/>
      <c r="B25" s="402" t="s">
        <v>124</v>
      </c>
      <c r="C25" s="402"/>
      <c r="D25" s="402"/>
      <c r="E25" s="402"/>
      <c r="F25" s="31">
        <v>1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2"/>
    </row>
    <row r="26" spans="1:17" ht="12.75" customHeight="1">
      <c r="A26" s="145"/>
      <c r="B26" s="31"/>
      <c r="C26" s="31"/>
      <c r="D26" s="31"/>
      <c r="E26" s="31"/>
      <c r="F26" s="31">
        <v>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2"/>
    </row>
    <row r="27" spans="1:17" ht="4.5" customHeight="1">
      <c r="A27" s="145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2"/>
    </row>
    <row r="28" spans="1:17" ht="4.5" customHeight="1">
      <c r="A28" s="145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2"/>
    </row>
    <row r="29" spans="1:17" ht="12.75" customHeight="1">
      <c r="A29" s="145"/>
      <c r="B29" s="31" t="s">
        <v>31</v>
      </c>
      <c r="C29" s="31"/>
      <c r="D29" s="31"/>
      <c r="E29" s="31"/>
      <c r="F29" s="392" t="s">
        <v>125</v>
      </c>
      <c r="G29" s="392"/>
      <c r="H29" s="392"/>
      <c r="I29" s="31"/>
      <c r="J29" s="31"/>
      <c r="K29" s="31"/>
      <c r="L29" s="31"/>
      <c r="M29" s="392" t="s">
        <v>126</v>
      </c>
      <c r="N29" s="392"/>
      <c r="O29" s="392"/>
      <c r="P29" s="392"/>
      <c r="Q29" s="12"/>
    </row>
    <row r="30" spans="1:17" ht="12" customHeight="1">
      <c r="A30" s="145"/>
      <c r="B30" s="392" t="s">
        <v>127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2"/>
    </row>
    <row r="31" spans="1:17" ht="12" customHeight="1">
      <c r="A31" s="145"/>
      <c r="B31" s="392"/>
      <c r="C31" s="31"/>
      <c r="D31" s="31"/>
      <c r="E31" s="31"/>
      <c r="F31" s="34" t="s">
        <v>128</v>
      </c>
      <c r="G31" s="34"/>
      <c r="H31" s="31"/>
      <c r="I31" s="31"/>
      <c r="J31" s="31"/>
      <c r="K31" s="31"/>
      <c r="L31" s="31"/>
      <c r="M31" s="31"/>
      <c r="N31" s="392" t="s">
        <v>129</v>
      </c>
      <c r="O31" s="392"/>
      <c r="P31" s="31"/>
      <c r="Q31" s="12"/>
    </row>
    <row r="32" spans="1:17" ht="12" customHeight="1">
      <c r="A32" s="145"/>
      <c r="B32" s="33" t="s">
        <v>130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92" t="s">
        <v>130</v>
      </c>
      <c r="O32" s="392"/>
      <c r="P32" s="31"/>
      <c r="Q32" s="12"/>
    </row>
    <row r="33" spans="1:17" ht="12.75" customHeight="1">
      <c r="A33" s="145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12"/>
    </row>
    <row r="34" spans="1:17" ht="3.75" customHeight="1">
      <c r="A34" s="192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3"/>
    </row>
    <row r="35" spans="2:16" ht="31.5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7" ht="3.75" customHeight="1">
      <c r="A36" s="188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160"/>
    </row>
    <row r="37" spans="1:17" ht="20.25">
      <c r="A37" s="145"/>
      <c r="B37" s="411" t="s">
        <v>143</v>
      </c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12"/>
    </row>
    <row r="38" spans="1:17" ht="12.75">
      <c r="A38" s="145"/>
      <c r="B38" s="392" t="s">
        <v>148</v>
      </c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12"/>
    </row>
    <row r="39" spans="1:17" ht="12.75">
      <c r="A39" s="145"/>
      <c r="B39" s="392" t="s">
        <v>142</v>
      </c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12"/>
    </row>
    <row r="40" spans="1:17" ht="12.75">
      <c r="A40" s="145"/>
      <c r="B40" s="33"/>
      <c r="C40" s="33"/>
      <c r="D40" s="33"/>
      <c r="E40" s="33"/>
      <c r="F40" s="33"/>
      <c r="G40" s="33"/>
      <c r="H40" s="33"/>
      <c r="I40" s="33"/>
      <c r="J40" s="31"/>
      <c r="K40" s="31"/>
      <c r="L40" s="31"/>
      <c r="M40" s="31"/>
      <c r="N40" s="31"/>
      <c r="O40" s="31"/>
      <c r="P40" s="31"/>
      <c r="Q40" s="12"/>
    </row>
    <row r="41" spans="1:17" ht="17.25" customHeight="1">
      <c r="A41" s="145"/>
      <c r="B41" s="34" t="s">
        <v>141</v>
      </c>
      <c r="C41" s="393" t="str">
        <f>DATA!G29</f>
        <v>07050308033</v>
      </c>
      <c r="D41" s="394"/>
      <c r="E41" s="395"/>
      <c r="F41" s="2"/>
      <c r="G41" s="2"/>
      <c r="H41" s="31" t="s">
        <v>140</v>
      </c>
      <c r="I41" s="2"/>
      <c r="J41" s="2"/>
      <c r="K41" s="2"/>
      <c r="L41" s="2"/>
      <c r="M41" s="76" t="str">
        <f>MID(DATA!G27,1,1)</f>
        <v>0</v>
      </c>
      <c r="N41" s="76" t="str">
        <f>MID(DATA!G27,2,1)</f>
        <v>7</v>
      </c>
      <c r="O41" s="76" t="str">
        <f>MID(DATA!G27,3,1)</f>
        <v>0</v>
      </c>
      <c r="P41" s="76" t="str">
        <f>MID(DATA!G27,4,1)</f>
        <v>5</v>
      </c>
      <c r="Q41" s="12"/>
    </row>
    <row r="42" spans="1:17" ht="12.75">
      <c r="A42" s="145"/>
      <c r="B42" s="31"/>
      <c r="C42" s="32"/>
      <c r="D42" s="31"/>
      <c r="E42" s="31"/>
      <c r="F42" s="2"/>
      <c r="G42" s="2"/>
      <c r="H42" s="2"/>
      <c r="I42" s="2"/>
      <c r="J42" s="31"/>
      <c r="K42" s="31"/>
      <c r="L42" s="31"/>
      <c r="M42" s="31"/>
      <c r="N42" s="31"/>
      <c r="O42" s="31"/>
      <c r="P42" s="31"/>
      <c r="Q42" s="12"/>
    </row>
    <row r="43" spans="1:17" ht="12.75">
      <c r="A43" s="145"/>
      <c r="B43" s="31" t="s">
        <v>108</v>
      </c>
      <c r="C43" s="200" t="str">
        <f>DATA!I27</f>
        <v>GAZ. HEAD MASTER</v>
      </c>
      <c r="D43" s="31"/>
      <c r="E43" s="2"/>
      <c r="F43" s="2"/>
      <c r="G43" s="2"/>
      <c r="H43" s="201" t="s">
        <v>139</v>
      </c>
      <c r="I43" s="2"/>
      <c r="J43" s="31"/>
      <c r="K43" s="31"/>
      <c r="L43" s="31"/>
      <c r="M43" s="396" t="str">
        <f>DATA!G28</f>
        <v>STO, DARSI</v>
      </c>
      <c r="N43" s="396"/>
      <c r="O43" s="396"/>
      <c r="P43" s="396"/>
      <c r="Q43" s="12"/>
    </row>
    <row r="44" spans="1:17" ht="12.75">
      <c r="A44" s="145"/>
      <c r="B44" s="31"/>
      <c r="C44" s="200"/>
      <c r="D44" s="31"/>
      <c r="E44" s="2"/>
      <c r="F44" s="2"/>
      <c r="G44" s="2"/>
      <c r="H44" s="201"/>
      <c r="I44" s="2"/>
      <c r="J44" s="31"/>
      <c r="K44" s="31"/>
      <c r="L44" s="31"/>
      <c r="M44" s="26"/>
      <c r="N44" s="26"/>
      <c r="O44" s="26"/>
      <c r="P44" s="26"/>
      <c r="Q44" s="12"/>
    </row>
    <row r="45" spans="1:17" ht="12.75">
      <c r="A45" s="145"/>
      <c r="B45" s="31" t="s">
        <v>138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12"/>
    </row>
    <row r="46" spans="1:17" ht="12.75">
      <c r="A46" s="145"/>
      <c r="B46" s="31" t="s">
        <v>137</v>
      </c>
      <c r="C46" s="31"/>
      <c r="D46" s="31"/>
      <c r="E46" s="31"/>
      <c r="F46" s="31"/>
      <c r="G46" s="31"/>
      <c r="H46" s="31"/>
      <c r="I46" s="31"/>
      <c r="J46" s="2"/>
      <c r="K46" s="2"/>
      <c r="L46" s="2"/>
      <c r="M46" s="2"/>
      <c r="N46" s="2"/>
      <c r="O46" s="2"/>
      <c r="P46" s="2"/>
      <c r="Q46" s="12"/>
    </row>
    <row r="47" spans="1:17" ht="12.75">
      <c r="A47" s="145"/>
      <c r="B47" s="31" t="str">
        <f>DATA!E29</f>
        <v>SYNDICATE BANK, DARSI</v>
      </c>
      <c r="C47" s="31"/>
      <c r="D47" s="31"/>
      <c r="E47" s="31"/>
      <c r="F47" s="31"/>
      <c r="G47" s="31"/>
      <c r="H47" s="31"/>
      <c r="I47" s="31"/>
      <c r="J47" s="2"/>
      <c r="K47" s="2"/>
      <c r="L47" s="2"/>
      <c r="M47" s="2"/>
      <c r="N47" s="2"/>
      <c r="O47" s="2"/>
      <c r="P47" s="2"/>
      <c r="Q47" s="12"/>
    </row>
    <row r="48" spans="1:17" ht="12.75">
      <c r="A48" s="145"/>
      <c r="B48" s="31"/>
      <c r="C48" s="31"/>
      <c r="D48" s="31"/>
      <c r="E48" s="31"/>
      <c r="F48" s="31"/>
      <c r="G48" s="31"/>
      <c r="H48" s="31"/>
      <c r="I48" s="31"/>
      <c r="J48" s="2"/>
      <c r="K48" s="2"/>
      <c r="L48" s="2"/>
      <c r="M48" s="2"/>
      <c r="N48" s="2"/>
      <c r="O48" s="2"/>
      <c r="P48" s="2"/>
      <c r="Q48" s="12"/>
    </row>
    <row r="49" spans="1:17" ht="15">
      <c r="A49" s="145"/>
      <c r="B49" s="400" t="str">
        <f>CONCATENATE("           Please pay Bill No: ",DATA!I30,", ","Dated:",TEXT(DATA!I31,"dd-mmm-yyyy"),""," for Rs ")</f>
        <v>           Please pay Bill No: 41/2013-14, Dated:29-Dec-2013 for Rs </v>
      </c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398">
        <f>N21</f>
        <v>4000</v>
      </c>
      <c r="O49" s="399"/>
      <c r="P49" s="399"/>
      <c r="Q49" s="12"/>
    </row>
    <row r="50" spans="1:17" ht="12.75">
      <c r="A50" s="145"/>
      <c r="B50" s="401" t="str">
        <f>C22</f>
        <v> FOUR  THOUSAND ONLY.</v>
      </c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12"/>
    </row>
    <row r="51" spans="1:17" ht="12.75">
      <c r="A51" s="145"/>
      <c r="B51" s="397" t="str">
        <f>CONCATENATE("to Sri / Smt ",DATA!I28,", ",DATA!I29," for the office of the ",DATA!I35)</f>
        <v>to Sri / Smt M.YELLAMANDA REDDY, S.A (M) for the office of the Z.P.H.S, MANGINAPUDI</v>
      </c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12"/>
    </row>
    <row r="52" spans="1:17" ht="12.75">
      <c r="A52" s="145"/>
      <c r="B52" s="397" t="s">
        <v>149</v>
      </c>
      <c r="C52" s="397"/>
      <c r="D52" s="397"/>
      <c r="E52" s="397"/>
      <c r="F52" s="397"/>
      <c r="G52" s="397"/>
      <c r="H52" s="397"/>
      <c r="I52" s="397"/>
      <c r="J52" s="18"/>
      <c r="K52" s="18"/>
      <c r="L52" s="18"/>
      <c r="M52" s="18"/>
      <c r="N52" s="18"/>
      <c r="O52" s="18"/>
      <c r="P52" s="18"/>
      <c r="Q52" s="12"/>
    </row>
    <row r="53" spans="1:17" ht="12.75">
      <c r="A53" s="145"/>
      <c r="B53" s="33"/>
      <c r="C53" s="33"/>
      <c r="D53" s="33"/>
      <c r="E53" s="33"/>
      <c r="F53" s="33"/>
      <c r="G53" s="33"/>
      <c r="H53" s="33"/>
      <c r="I53" s="33"/>
      <c r="J53" s="2"/>
      <c r="K53" s="2"/>
      <c r="L53" s="2"/>
      <c r="M53" s="2"/>
      <c r="N53" s="2"/>
      <c r="O53" s="2"/>
      <c r="P53" s="2"/>
      <c r="Q53" s="12"/>
    </row>
    <row r="54" spans="1:17" ht="12.75">
      <c r="A54" s="145"/>
      <c r="B54" s="31"/>
      <c r="C54" s="31"/>
      <c r="D54" s="31"/>
      <c r="E54" s="31"/>
      <c r="F54" s="31"/>
      <c r="G54" s="31"/>
      <c r="H54" s="31"/>
      <c r="I54" s="31"/>
      <c r="J54" s="2"/>
      <c r="K54" s="2"/>
      <c r="L54" s="2"/>
      <c r="M54" s="2"/>
      <c r="N54" s="2"/>
      <c r="O54" s="2"/>
      <c r="P54" s="2"/>
      <c r="Q54" s="12"/>
    </row>
    <row r="55" spans="1:17" ht="12.75">
      <c r="A55" s="145"/>
      <c r="B55" s="31" t="s">
        <v>136</v>
      </c>
      <c r="C55" s="31"/>
      <c r="D55" s="31"/>
      <c r="E55" s="2"/>
      <c r="F55" s="2"/>
      <c r="G55" s="2"/>
      <c r="H55" s="2"/>
      <c r="I55" s="2"/>
      <c r="J55" s="2"/>
      <c r="K55" s="2"/>
      <c r="L55" s="392" t="s">
        <v>135</v>
      </c>
      <c r="M55" s="392"/>
      <c r="N55" s="392"/>
      <c r="O55" s="392"/>
      <c r="P55" s="392"/>
      <c r="Q55" s="12"/>
    </row>
    <row r="56" spans="1:17" ht="12.75">
      <c r="A56" s="145"/>
      <c r="B56" s="31" t="str">
        <f ca="1">CONCATENATE("Dated","         ","-",MONTH(NOW()),"-",YEAR(NOW()))</f>
        <v>Dated         -12-2013</v>
      </c>
      <c r="C56" s="31"/>
      <c r="D56" s="31"/>
      <c r="E56" s="2"/>
      <c r="F56" s="2"/>
      <c r="G56" s="2"/>
      <c r="H56" s="2"/>
      <c r="I56" s="2"/>
      <c r="J56" s="34" t="str">
        <f ca="1">CONCATENATE("     Dated","                ","-",MONTH(NOW()),"-",YEAR(NOW()))</f>
        <v>     Dated                -12-2013</v>
      </c>
      <c r="K56" s="2"/>
      <c r="L56" s="2"/>
      <c r="M56" s="34"/>
      <c r="N56" s="34"/>
      <c r="O56" s="2"/>
      <c r="P56" s="2"/>
      <c r="Q56" s="12"/>
    </row>
    <row r="57" spans="1:17" ht="12.75">
      <c r="A57" s="145"/>
      <c r="B57" s="392" t="s">
        <v>295</v>
      </c>
      <c r="C57" s="392"/>
      <c r="D57" s="392"/>
      <c r="E57" s="392"/>
      <c r="F57" s="31"/>
      <c r="G57" s="31"/>
      <c r="H57" s="31"/>
      <c r="I57" s="31"/>
      <c r="J57" s="2"/>
      <c r="K57" s="2"/>
      <c r="L57" s="2"/>
      <c r="M57" s="2"/>
      <c r="N57" s="2"/>
      <c r="O57" s="2"/>
      <c r="P57" s="2"/>
      <c r="Q57" s="12"/>
    </row>
    <row r="58" spans="1:17" ht="17.25" customHeight="1">
      <c r="A58" s="145"/>
      <c r="B58" s="31"/>
      <c r="C58" s="31"/>
      <c r="D58" s="31"/>
      <c r="E58" s="31"/>
      <c r="F58" s="31"/>
      <c r="G58" s="31"/>
      <c r="H58" s="31"/>
      <c r="I58" s="31"/>
      <c r="J58" s="2"/>
      <c r="K58" s="2"/>
      <c r="L58" s="2"/>
      <c r="M58" s="2"/>
      <c r="N58" s="2"/>
      <c r="O58" s="2"/>
      <c r="P58" s="2"/>
      <c r="Q58" s="12"/>
    </row>
    <row r="59" spans="1:17" ht="12.75">
      <c r="A59" s="145"/>
      <c r="B59" s="392" t="s">
        <v>134</v>
      </c>
      <c r="C59" s="392"/>
      <c r="D59" s="392"/>
      <c r="E59" s="392"/>
      <c r="F59" s="2"/>
      <c r="G59" s="2"/>
      <c r="H59" s="2"/>
      <c r="I59" s="2"/>
      <c r="J59" s="392" t="s">
        <v>133</v>
      </c>
      <c r="K59" s="392"/>
      <c r="L59" s="392"/>
      <c r="M59" s="392"/>
      <c r="N59" s="392"/>
      <c r="O59" s="392"/>
      <c r="P59" s="392"/>
      <c r="Q59" s="12"/>
    </row>
    <row r="60" spans="1:17" ht="12.75">
      <c r="A60" s="145"/>
      <c r="B60" s="31"/>
      <c r="C60" s="31"/>
      <c r="D60" s="31"/>
      <c r="E60" s="2"/>
      <c r="F60" s="2"/>
      <c r="G60" s="2"/>
      <c r="H60" s="2"/>
      <c r="I60" s="2"/>
      <c r="J60" s="392" t="s">
        <v>132</v>
      </c>
      <c r="K60" s="392"/>
      <c r="L60" s="392"/>
      <c r="M60" s="392"/>
      <c r="N60" s="392"/>
      <c r="O60" s="392"/>
      <c r="P60" s="392"/>
      <c r="Q60" s="12"/>
    </row>
    <row r="61" spans="1:17" ht="12.75">
      <c r="A61" s="145"/>
      <c r="B61" s="392" t="s">
        <v>131</v>
      </c>
      <c r="C61" s="392"/>
      <c r="D61" s="392"/>
      <c r="E61" s="392"/>
      <c r="F61" s="31"/>
      <c r="G61" s="31"/>
      <c r="H61" s="31"/>
      <c r="I61" s="31"/>
      <c r="J61" s="2"/>
      <c r="K61" s="2"/>
      <c r="L61" s="2"/>
      <c r="M61" s="2"/>
      <c r="N61" s="2"/>
      <c r="O61" s="2"/>
      <c r="P61" s="2"/>
      <c r="Q61" s="12"/>
    </row>
    <row r="62" spans="1:17" ht="12.75">
      <c r="A62" s="145"/>
      <c r="B62" s="392" t="s">
        <v>130</v>
      </c>
      <c r="C62" s="392"/>
      <c r="D62" s="392"/>
      <c r="E62" s="392"/>
      <c r="F62" s="31"/>
      <c r="G62" s="31"/>
      <c r="H62" s="31"/>
      <c r="I62" s="31"/>
      <c r="J62" s="2"/>
      <c r="K62" s="2"/>
      <c r="L62" s="2"/>
      <c r="M62" s="2"/>
      <c r="N62" s="2"/>
      <c r="O62" s="2"/>
      <c r="P62" s="2"/>
      <c r="Q62" s="12"/>
    </row>
    <row r="63" spans="1:17" ht="12.75">
      <c r="A63" s="145"/>
      <c r="B63" s="34"/>
      <c r="C63" s="34"/>
      <c r="D63" s="31"/>
      <c r="E63" s="31"/>
      <c r="F63" s="31"/>
      <c r="G63" s="31"/>
      <c r="H63" s="31"/>
      <c r="I63" s="31"/>
      <c r="J63" s="2"/>
      <c r="K63" s="2"/>
      <c r="L63" s="2"/>
      <c r="M63" s="2"/>
      <c r="N63" s="2"/>
      <c r="O63" s="2"/>
      <c r="P63" s="2"/>
      <c r="Q63" s="12"/>
    </row>
    <row r="64" spans="1:17" ht="3.75" customHeight="1">
      <c r="A64" s="192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13"/>
    </row>
  </sheetData>
  <sheetProtection/>
  <mergeCells count="56">
    <mergeCell ref="N21:P21"/>
    <mergeCell ref="B23:P23"/>
    <mergeCell ref="E21:G21"/>
    <mergeCell ref="H21:J21"/>
    <mergeCell ref="K21:M21"/>
    <mergeCell ref="B24:E24"/>
    <mergeCell ref="C21:D21"/>
    <mergeCell ref="C22:P22"/>
    <mergeCell ref="C13:F13"/>
    <mergeCell ref="C16:D16"/>
    <mergeCell ref="H16:J16"/>
    <mergeCell ref="M16:O16"/>
    <mergeCell ref="P18:P19"/>
    <mergeCell ref="E19:F19"/>
    <mergeCell ref="H19:L19"/>
    <mergeCell ref="N32:O32"/>
    <mergeCell ref="B25:E25"/>
    <mergeCell ref="F29:H29"/>
    <mergeCell ref="M29:P29"/>
    <mergeCell ref="B30:B31"/>
    <mergeCell ref="N31:O31"/>
    <mergeCell ref="B2:P2"/>
    <mergeCell ref="B3:P3"/>
    <mergeCell ref="K4:P4"/>
    <mergeCell ref="C6:F6"/>
    <mergeCell ref="M6:P6"/>
    <mergeCell ref="B37:P37"/>
    <mergeCell ref="C8:E8"/>
    <mergeCell ref="C5:F5"/>
    <mergeCell ref="C18:D19"/>
    <mergeCell ref="E18:F18"/>
    <mergeCell ref="H10:P10"/>
    <mergeCell ref="H13:I13"/>
    <mergeCell ref="K13:M13"/>
    <mergeCell ref="O13:P13"/>
    <mergeCell ref="M18:M19"/>
    <mergeCell ref="B38:P38"/>
    <mergeCell ref="G18:G19"/>
    <mergeCell ref="H18:L18"/>
    <mergeCell ref="O18:O19"/>
    <mergeCell ref="N18:N19"/>
    <mergeCell ref="B39:P39"/>
    <mergeCell ref="C41:E41"/>
    <mergeCell ref="L55:P55"/>
    <mergeCell ref="M43:P43"/>
    <mergeCell ref="B52:I52"/>
    <mergeCell ref="N49:P49"/>
    <mergeCell ref="B49:M49"/>
    <mergeCell ref="B50:P50"/>
    <mergeCell ref="B51:P51"/>
    <mergeCell ref="B57:E57"/>
    <mergeCell ref="J59:P59"/>
    <mergeCell ref="B62:E62"/>
    <mergeCell ref="J60:P60"/>
    <mergeCell ref="B59:E59"/>
    <mergeCell ref="B61:E61"/>
  </mergeCells>
  <printOptions horizontalCentered="1"/>
  <pageMargins left="0.6" right="0.6" top="0.5" bottom="0.45" header="0.28" footer="0.21"/>
  <pageSetup fitToWidth="2"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AI70"/>
  <sheetViews>
    <sheetView workbookViewId="0" topLeftCell="A16">
      <selection activeCell="J6" sqref="J6:N6"/>
    </sheetView>
  </sheetViews>
  <sheetFormatPr defaultColWidth="9.140625" defaultRowHeight="12.75"/>
  <cols>
    <col min="1" max="1" width="2.00390625" style="0" customWidth="1"/>
    <col min="2" max="2" width="0.71875" style="0" customWidth="1"/>
    <col min="3" max="3" width="0.5625" style="0" customWidth="1"/>
    <col min="4" max="5" width="4.140625" style="0" customWidth="1"/>
    <col min="6" max="6" width="5.7109375" style="0" customWidth="1"/>
    <col min="7" max="13" width="4.140625" style="0" customWidth="1"/>
    <col min="14" max="14" width="3.57421875" style="0" customWidth="1"/>
    <col min="15" max="16" width="0.5625" style="0" customWidth="1"/>
    <col min="17" max="17" width="3.421875" style="0" customWidth="1"/>
    <col min="18" max="18" width="3.28125" style="0" customWidth="1"/>
    <col min="19" max="19" width="3.421875" style="0" customWidth="1"/>
    <col min="20" max="20" width="2.421875" style="0" customWidth="1"/>
    <col min="21" max="21" width="5.140625" style="0" customWidth="1"/>
    <col min="22" max="22" width="8.140625" style="0" customWidth="1"/>
    <col min="23" max="23" width="3.8515625" style="0" customWidth="1"/>
    <col min="24" max="24" width="0.2890625" style="0" customWidth="1"/>
    <col min="25" max="25" width="2.8515625" style="23" customWidth="1"/>
    <col min="26" max="26" width="2.57421875" style="0" customWidth="1"/>
    <col min="27" max="27" width="5.00390625" style="0" hidden="1" customWidth="1"/>
    <col min="28" max="28" width="6.57421875" style="0" customWidth="1"/>
    <col min="29" max="29" width="0.5625" style="0" customWidth="1"/>
  </cols>
  <sheetData>
    <row r="1" spans="1:29" ht="18" customHeight="1">
      <c r="A1" s="4"/>
      <c r="B1" s="4"/>
      <c r="C1" s="7"/>
      <c r="D1" s="426" t="str">
        <f>CONCATENATE("Payable At ",DATA!G28)</f>
        <v>Payable At STO, DARSI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2"/>
    </row>
    <row r="2" spans="1:29" ht="3" customHeight="1">
      <c r="A2" s="4"/>
      <c r="B2" s="4"/>
      <c r="C2" s="158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213"/>
      <c r="Y2" s="213"/>
      <c r="Z2" s="159"/>
      <c r="AA2" s="159"/>
      <c r="AB2" s="159"/>
      <c r="AC2" s="160"/>
    </row>
    <row r="3" spans="1:30" ht="16.5" customHeight="1">
      <c r="A3" s="232">
        <f>J54+1</f>
        <v>4001</v>
      </c>
      <c r="B3" s="232"/>
      <c r="C3" s="40"/>
      <c r="D3" s="437" t="s">
        <v>309</v>
      </c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9"/>
      <c r="AC3" s="12"/>
      <c r="AD3" s="314"/>
    </row>
    <row r="4" spans="1:29" ht="4.5" customHeight="1">
      <c r="A4" s="36"/>
      <c r="B4" s="36"/>
      <c r="C4" s="40"/>
      <c r="D4" s="12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02"/>
      <c r="Z4" s="6"/>
      <c r="AA4" s="6"/>
      <c r="AB4" s="124"/>
      <c r="AC4" s="12"/>
    </row>
    <row r="5" spans="1:29" ht="9.75" customHeight="1">
      <c r="A5" s="36"/>
      <c r="B5" s="36"/>
      <c r="C5" s="40"/>
      <c r="D5" s="12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36" t="str">
        <f>CONCATENATE(DATA!J28,": ",DATA!K28)</f>
        <v>DDO CELL NUMBER: 8008209190</v>
      </c>
      <c r="V5" s="2"/>
      <c r="W5" s="2"/>
      <c r="X5" s="2"/>
      <c r="Y5" s="26"/>
      <c r="Z5" s="2"/>
      <c r="AA5" s="2"/>
      <c r="AB5" s="12"/>
      <c r="AC5" s="12"/>
    </row>
    <row r="6" spans="1:29" ht="15" customHeight="1">
      <c r="A6" s="36"/>
      <c r="B6" s="36"/>
      <c r="C6" s="40"/>
      <c r="D6" s="429" t="s">
        <v>32</v>
      </c>
      <c r="E6" s="421"/>
      <c r="F6" s="421"/>
      <c r="G6" s="421"/>
      <c r="H6" s="421"/>
      <c r="I6" s="421"/>
      <c r="J6" s="420" t="str">
        <f>CONCATENATE(MONTH(DATA!E35)," / ",YEAR(DATA!E35))</f>
        <v>1 / 2014</v>
      </c>
      <c r="K6" s="417"/>
      <c r="L6" s="417"/>
      <c r="M6" s="417"/>
      <c r="N6" s="418"/>
      <c r="O6" s="139"/>
      <c r="P6" s="139"/>
      <c r="Q6" s="17"/>
      <c r="R6" s="6"/>
      <c r="S6" s="6"/>
      <c r="T6" s="6"/>
      <c r="U6" s="427" t="s">
        <v>307</v>
      </c>
      <c r="V6" s="427"/>
      <c r="W6" s="427"/>
      <c r="X6" s="427"/>
      <c r="Y6" s="427"/>
      <c r="Z6" s="427"/>
      <c r="AA6" s="427"/>
      <c r="AB6" s="428"/>
      <c r="AC6" s="12"/>
    </row>
    <row r="7" spans="1:29" ht="3" customHeight="1">
      <c r="A7" s="434" t="str">
        <f>CONCATENATE("(",DATA!E191,"/-) "," UNDER RUPEES : ",DATA!C199)</f>
        <v>(4001/-)  UNDER RUPEES :  FOUR  THOUSAND ONE RUPEE  ONLY.</v>
      </c>
      <c r="B7" s="233"/>
      <c r="C7" s="161"/>
      <c r="D7" s="38"/>
      <c r="E7" s="39"/>
      <c r="F7" s="39"/>
      <c r="G7" s="39"/>
      <c r="H7" s="17"/>
      <c r="I7" s="1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0"/>
      <c r="V7" s="10"/>
      <c r="W7" s="10"/>
      <c r="X7" s="10"/>
      <c r="Y7" s="211"/>
      <c r="Z7" s="10"/>
      <c r="AA7" s="10"/>
      <c r="AB7" s="11"/>
      <c r="AC7" s="12"/>
    </row>
    <row r="8" spans="1:29" ht="15" customHeight="1">
      <c r="A8" s="434"/>
      <c r="B8" s="233"/>
      <c r="C8" s="161"/>
      <c r="D8" s="429" t="s">
        <v>33</v>
      </c>
      <c r="E8" s="421"/>
      <c r="F8" s="421"/>
      <c r="G8" s="421"/>
      <c r="H8" s="421"/>
      <c r="I8" s="421"/>
      <c r="J8" s="416" t="str">
        <f>DATA!G27</f>
        <v>0705</v>
      </c>
      <c r="K8" s="417"/>
      <c r="L8" s="417"/>
      <c r="M8" s="417"/>
      <c r="N8" s="418"/>
      <c r="O8" s="139"/>
      <c r="P8" s="139"/>
      <c r="Q8" s="6"/>
      <c r="R8" s="6"/>
      <c r="S8" s="6"/>
      <c r="T8" s="6"/>
      <c r="U8" s="392" t="s">
        <v>300</v>
      </c>
      <c r="V8" s="392"/>
      <c r="W8" s="392"/>
      <c r="X8" s="392"/>
      <c r="Y8" s="392"/>
      <c r="Z8" s="392"/>
      <c r="AA8" s="392"/>
      <c r="AB8" s="419"/>
      <c r="AC8" s="12"/>
    </row>
    <row r="9" spans="1:29" ht="3" customHeight="1">
      <c r="A9" s="434"/>
      <c r="B9" s="233"/>
      <c r="C9" s="161"/>
      <c r="D9" s="38"/>
      <c r="E9" s="39"/>
      <c r="F9" s="39"/>
      <c r="G9" s="39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0"/>
      <c r="V9" s="132"/>
      <c r="W9" s="132"/>
      <c r="X9" s="132"/>
      <c r="Y9" s="211"/>
      <c r="Z9" s="132"/>
      <c r="AA9" s="132"/>
      <c r="AB9" s="133"/>
      <c r="AC9" s="12"/>
    </row>
    <row r="10" spans="1:29" ht="15" customHeight="1">
      <c r="A10" s="434"/>
      <c r="B10" s="233"/>
      <c r="C10" s="161"/>
      <c r="D10" s="429" t="s">
        <v>34</v>
      </c>
      <c r="E10" s="421"/>
      <c r="F10" s="421"/>
      <c r="G10" s="421"/>
      <c r="H10" s="420" t="str">
        <f>DATA!G29</f>
        <v>07050308033</v>
      </c>
      <c r="I10" s="417"/>
      <c r="J10" s="417"/>
      <c r="K10" s="417"/>
      <c r="L10" s="417"/>
      <c r="M10" s="417"/>
      <c r="N10" s="418"/>
      <c r="O10" s="140"/>
      <c r="P10" s="140"/>
      <c r="Q10" s="6"/>
      <c r="R10" s="6"/>
      <c r="S10" s="6"/>
      <c r="T10" s="2"/>
      <c r="U10" s="392" t="s">
        <v>301</v>
      </c>
      <c r="V10" s="392"/>
      <c r="W10" s="392"/>
      <c r="X10" s="392"/>
      <c r="Y10" s="392"/>
      <c r="Z10" s="392"/>
      <c r="AA10" s="392"/>
      <c r="AB10" s="419"/>
      <c r="AC10" s="12"/>
    </row>
    <row r="11" spans="1:29" ht="3" customHeight="1">
      <c r="A11" s="434"/>
      <c r="B11" s="233"/>
      <c r="C11" s="161"/>
      <c r="D11" s="4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30"/>
      <c r="U11" s="130"/>
      <c r="V11" s="130"/>
      <c r="W11" s="130"/>
      <c r="X11" s="130"/>
      <c r="Y11" s="130"/>
      <c r="Z11" s="130"/>
      <c r="AA11" s="130"/>
      <c r="AB11" s="135"/>
      <c r="AC11" s="12"/>
    </row>
    <row r="12" spans="1:29" ht="15" customHeight="1">
      <c r="A12" s="434"/>
      <c r="B12" s="233"/>
      <c r="C12" s="161"/>
      <c r="D12" s="440" t="s">
        <v>35</v>
      </c>
      <c r="E12" s="460"/>
      <c r="F12" s="460"/>
      <c r="G12" s="460"/>
      <c r="H12" s="423" t="str">
        <f>DATA!I27</f>
        <v>GAZ. HEAD MASTER</v>
      </c>
      <c r="I12" s="424"/>
      <c r="J12" s="424"/>
      <c r="K12" s="424"/>
      <c r="L12" s="424"/>
      <c r="M12" s="424"/>
      <c r="N12" s="425"/>
      <c r="O12" s="141"/>
      <c r="P12" s="141"/>
      <c r="Q12" s="10"/>
      <c r="R12" s="2"/>
      <c r="S12" s="2"/>
      <c r="T12" s="456" t="s">
        <v>303</v>
      </c>
      <c r="U12" s="456"/>
      <c r="V12" s="456"/>
      <c r="W12" s="456"/>
      <c r="X12" s="456"/>
      <c r="Y12" s="456"/>
      <c r="Z12" s="456"/>
      <c r="AA12" s="456"/>
      <c r="AB12" s="457"/>
      <c r="AC12" s="12"/>
    </row>
    <row r="13" spans="1:29" ht="3" customHeight="1">
      <c r="A13" s="434"/>
      <c r="B13" s="233"/>
      <c r="C13" s="161"/>
      <c r="D13" s="4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30"/>
      <c r="U13" s="130"/>
      <c r="V13" s="130"/>
      <c r="W13" s="130"/>
      <c r="X13" s="130"/>
      <c r="Y13" s="130"/>
      <c r="Z13" s="130"/>
      <c r="AA13" s="130"/>
      <c r="AB13" s="135"/>
      <c r="AC13" s="12"/>
    </row>
    <row r="14" spans="1:29" ht="15" customHeight="1">
      <c r="A14" s="434"/>
      <c r="B14" s="233"/>
      <c r="C14" s="161"/>
      <c r="D14" s="440" t="s">
        <v>36</v>
      </c>
      <c r="E14" s="460"/>
      <c r="F14" s="460"/>
      <c r="G14" s="460"/>
      <c r="H14" s="420">
        <f>DATA!E31</f>
        <v>3641</v>
      </c>
      <c r="I14" s="417"/>
      <c r="J14" s="417"/>
      <c r="K14" s="417"/>
      <c r="L14" s="417"/>
      <c r="M14" s="417"/>
      <c r="N14" s="418"/>
      <c r="O14" s="140"/>
      <c r="P14" s="140"/>
      <c r="Q14" s="10"/>
      <c r="R14" s="2"/>
      <c r="S14" s="10"/>
      <c r="T14" s="421" t="str">
        <f>CONCATENATE("DDO OFFICE NAME :     ",DATA!I35)</f>
        <v>DDO OFFICE NAME :     Z.P.H.S, MANGINAPUDI</v>
      </c>
      <c r="U14" s="421"/>
      <c r="V14" s="421"/>
      <c r="W14" s="421"/>
      <c r="X14" s="421"/>
      <c r="Y14" s="421"/>
      <c r="Z14" s="421"/>
      <c r="AA14" s="421"/>
      <c r="AB14" s="422"/>
      <c r="AC14" s="12"/>
    </row>
    <row r="15" spans="1:29" ht="3" customHeight="1">
      <c r="A15" s="434"/>
      <c r="B15" s="233"/>
      <c r="C15" s="161"/>
      <c r="D15" s="40"/>
      <c r="E15" s="10"/>
      <c r="F15" s="10"/>
      <c r="G15" s="10"/>
      <c r="H15" s="6"/>
      <c r="I15" s="6"/>
      <c r="J15" s="6"/>
      <c r="K15" s="6"/>
      <c r="L15" s="9"/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11"/>
      <c r="Z15" s="10"/>
      <c r="AA15" s="10"/>
      <c r="AB15" s="11"/>
      <c r="AC15" s="12"/>
    </row>
    <row r="16" spans="1:29" ht="15" customHeight="1">
      <c r="A16" s="434"/>
      <c r="B16" s="233"/>
      <c r="C16" s="161"/>
      <c r="D16" s="440" t="s">
        <v>302</v>
      </c>
      <c r="E16" s="460"/>
      <c r="F16" s="460"/>
      <c r="G16" s="460"/>
      <c r="H16" s="420" t="str">
        <f>DATA!I30</f>
        <v>41/2013-14</v>
      </c>
      <c r="I16" s="417"/>
      <c r="J16" s="417"/>
      <c r="K16" s="417"/>
      <c r="L16" s="417"/>
      <c r="M16" s="417"/>
      <c r="N16" s="418"/>
      <c r="O16" s="139"/>
      <c r="P16" s="139"/>
      <c r="Q16" s="134"/>
      <c r="R16" s="10"/>
      <c r="S16" s="10"/>
      <c r="T16" s="430" t="str">
        <f>CONCATENATE("BANK NAME:  ",DATA!E29)</f>
        <v>BANK NAME:  SYNDICATE BANK, DARSI</v>
      </c>
      <c r="U16" s="430"/>
      <c r="V16" s="430"/>
      <c r="W16" s="430"/>
      <c r="X16" s="430"/>
      <c r="Y16" s="430"/>
      <c r="Z16" s="430"/>
      <c r="AA16" s="430"/>
      <c r="AB16" s="431"/>
      <c r="AC16" s="12"/>
    </row>
    <row r="17" spans="1:29" ht="3" customHeight="1">
      <c r="A17" s="434"/>
      <c r="B17" s="233"/>
      <c r="C17" s="161"/>
      <c r="D17" s="164"/>
      <c r="E17" s="165"/>
      <c r="F17" s="165"/>
      <c r="G17" s="165"/>
      <c r="H17" s="166"/>
      <c r="I17" s="142"/>
      <c r="J17" s="142"/>
      <c r="K17" s="142"/>
      <c r="L17" s="142"/>
      <c r="M17" s="142"/>
      <c r="N17" s="142"/>
      <c r="O17" s="142"/>
      <c r="P17" s="142"/>
      <c r="Q17" s="138"/>
      <c r="R17" s="44"/>
      <c r="S17" s="44"/>
      <c r="T17" s="167"/>
      <c r="U17" s="167"/>
      <c r="V17" s="167"/>
      <c r="W17" s="167"/>
      <c r="X17" s="167"/>
      <c r="Y17" s="167"/>
      <c r="Z17" s="167"/>
      <c r="AA17" s="167"/>
      <c r="AB17" s="168"/>
      <c r="AC17" s="12"/>
    </row>
    <row r="18" spans="1:29" ht="3" customHeight="1">
      <c r="A18" s="434"/>
      <c r="B18" s="233"/>
      <c r="C18" s="161"/>
      <c r="D18" s="10"/>
      <c r="E18" s="10"/>
      <c r="F18" s="10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10"/>
      <c r="S18" s="10"/>
      <c r="T18" s="10"/>
      <c r="U18" s="10"/>
      <c r="V18" s="10"/>
      <c r="W18" s="10"/>
      <c r="X18" s="10"/>
      <c r="Y18" s="211"/>
      <c r="Z18" s="10"/>
      <c r="AA18" s="10"/>
      <c r="AB18" s="10"/>
      <c r="AC18" s="12"/>
    </row>
    <row r="19" spans="1:35" ht="12.75">
      <c r="A19" s="434"/>
      <c r="B19" s="233"/>
      <c r="C19" s="161"/>
      <c r="D19" s="143" t="s">
        <v>37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0"/>
      <c r="O19" s="10"/>
      <c r="P19" s="146"/>
      <c r="Q19" s="40" t="s">
        <v>38</v>
      </c>
      <c r="R19" s="128"/>
      <c r="S19" s="128"/>
      <c r="T19" s="128"/>
      <c r="U19" s="128"/>
      <c r="V19" s="128"/>
      <c r="W19" s="128"/>
      <c r="X19" s="128" t="s">
        <v>1</v>
      </c>
      <c r="Y19" s="214"/>
      <c r="Z19" s="128"/>
      <c r="AA19" s="128"/>
      <c r="AB19" s="129"/>
      <c r="AC19" s="12"/>
      <c r="AF19" s="2"/>
      <c r="AG19" s="2"/>
      <c r="AH19" s="2"/>
      <c r="AI19" s="2"/>
    </row>
    <row r="20" spans="1:35" ht="12.75">
      <c r="A20" s="434"/>
      <c r="B20" s="233"/>
      <c r="C20" s="161"/>
      <c r="D20" s="40" t="s">
        <v>39</v>
      </c>
      <c r="E20" s="10"/>
      <c r="F20" s="10"/>
      <c r="G20" s="5">
        <v>2</v>
      </c>
      <c r="H20" s="5">
        <v>2</v>
      </c>
      <c r="I20" s="5">
        <v>0</v>
      </c>
      <c r="J20" s="5">
        <v>2</v>
      </c>
      <c r="K20" s="41" t="s">
        <v>94</v>
      </c>
      <c r="L20" s="10"/>
      <c r="M20" s="10"/>
      <c r="N20" s="10"/>
      <c r="O20" s="10"/>
      <c r="P20" s="146"/>
      <c r="Q20" s="40">
        <v>1</v>
      </c>
      <c r="R20" s="10" t="s">
        <v>40</v>
      </c>
      <c r="S20" s="10"/>
      <c r="T20" s="10"/>
      <c r="U20" s="10"/>
      <c r="V20" s="10"/>
      <c r="W20" s="10" t="s">
        <v>41</v>
      </c>
      <c r="X20" s="435"/>
      <c r="Y20" s="435"/>
      <c r="Z20" s="435"/>
      <c r="AA20" s="435"/>
      <c r="AB20" s="436"/>
      <c r="AC20" s="12"/>
      <c r="AF20" s="2"/>
      <c r="AG20" s="2"/>
      <c r="AH20" s="2"/>
      <c r="AI20" s="2"/>
    </row>
    <row r="21" spans="1:35" ht="3" customHeight="1">
      <c r="A21" s="434"/>
      <c r="B21" s="233"/>
      <c r="C21" s="161"/>
      <c r="D21" s="4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46"/>
      <c r="Q21" s="40"/>
      <c r="R21" s="10"/>
      <c r="S21" s="10"/>
      <c r="T21" s="10"/>
      <c r="U21" s="10"/>
      <c r="V21" s="10"/>
      <c r="W21" s="10"/>
      <c r="X21" s="132"/>
      <c r="Y21" s="132"/>
      <c r="Z21" s="132"/>
      <c r="AA21" s="132"/>
      <c r="AB21" s="133"/>
      <c r="AC21" s="12"/>
      <c r="AF21" s="2"/>
      <c r="AG21" s="2"/>
      <c r="AH21" s="2"/>
      <c r="AI21" s="2"/>
    </row>
    <row r="22" spans="1:35" ht="12.75">
      <c r="A22" s="434"/>
      <c r="B22" s="233"/>
      <c r="C22" s="161"/>
      <c r="D22" s="40" t="s">
        <v>42</v>
      </c>
      <c r="E22" s="10"/>
      <c r="F22" s="10"/>
      <c r="G22" s="5">
        <v>0</v>
      </c>
      <c r="H22" s="5">
        <v>2</v>
      </c>
      <c r="I22" s="9"/>
      <c r="J22" s="41" t="s">
        <v>95</v>
      </c>
      <c r="K22" s="10"/>
      <c r="L22" s="10"/>
      <c r="M22" s="10"/>
      <c r="N22" s="10"/>
      <c r="O22" s="10"/>
      <c r="P22" s="146"/>
      <c r="Q22" s="40">
        <v>2</v>
      </c>
      <c r="R22" s="10" t="s">
        <v>43</v>
      </c>
      <c r="S22" s="10"/>
      <c r="T22" s="10"/>
      <c r="U22" s="10"/>
      <c r="V22" s="10"/>
      <c r="W22" s="10" t="s">
        <v>41</v>
      </c>
      <c r="X22" s="432"/>
      <c r="Y22" s="432"/>
      <c r="Z22" s="432"/>
      <c r="AA22" s="432"/>
      <c r="AB22" s="433"/>
      <c r="AC22" s="12"/>
      <c r="AF22" s="2"/>
      <c r="AG22" s="2"/>
      <c r="AH22" s="2"/>
      <c r="AI22" s="2"/>
    </row>
    <row r="23" spans="1:35" ht="3" customHeight="1">
      <c r="A23" s="434"/>
      <c r="B23" s="233"/>
      <c r="C23" s="161"/>
      <c r="D23" s="40"/>
      <c r="E23" s="10"/>
      <c r="F23" s="10"/>
      <c r="G23" s="9"/>
      <c r="H23" s="9"/>
      <c r="I23" s="9"/>
      <c r="J23" s="10"/>
      <c r="K23" s="10"/>
      <c r="L23" s="10"/>
      <c r="M23" s="10"/>
      <c r="N23" s="10"/>
      <c r="O23" s="10"/>
      <c r="P23" s="146"/>
      <c r="Q23" s="40"/>
      <c r="R23" s="10"/>
      <c r="S23" s="10"/>
      <c r="T23" s="10"/>
      <c r="U23" s="10"/>
      <c r="V23" s="10"/>
      <c r="W23" s="10"/>
      <c r="X23" s="132"/>
      <c r="Y23" s="132"/>
      <c r="Z23" s="132"/>
      <c r="AA23" s="132"/>
      <c r="AB23" s="133"/>
      <c r="AC23" s="12"/>
      <c r="AF23" s="2"/>
      <c r="AG23" s="2"/>
      <c r="AH23" s="2"/>
      <c r="AI23" s="2"/>
    </row>
    <row r="24" spans="1:35" ht="18.75" customHeight="1">
      <c r="A24" s="434"/>
      <c r="B24" s="233"/>
      <c r="C24" s="161"/>
      <c r="D24" s="40" t="s">
        <v>44</v>
      </c>
      <c r="E24" s="10"/>
      <c r="F24" s="10"/>
      <c r="G24" s="5">
        <v>1</v>
      </c>
      <c r="H24" s="5">
        <v>9</v>
      </c>
      <c r="I24" s="5">
        <v>1</v>
      </c>
      <c r="J24" s="463" t="s">
        <v>96</v>
      </c>
      <c r="K24" s="463"/>
      <c r="L24" s="463"/>
      <c r="M24" s="463"/>
      <c r="N24" s="463"/>
      <c r="O24" s="125"/>
      <c r="P24" s="147"/>
      <c r="Q24" s="40">
        <v>3</v>
      </c>
      <c r="R24" s="10" t="s">
        <v>45</v>
      </c>
      <c r="S24" s="10"/>
      <c r="T24" s="10"/>
      <c r="U24" s="10"/>
      <c r="V24" s="10"/>
      <c r="W24" s="10" t="s">
        <v>41</v>
      </c>
      <c r="X24" s="432"/>
      <c r="Y24" s="432"/>
      <c r="Z24" s="432"/>
      <c r="AA24" s="432"/>
      <c r="AB24" s="433"/>
      <c r="AC24" s="12"/>
      <c r="AF24" s="2"/>
      <c r="AG24" s="2"/>
      <c r="AH24" s="2"/>
      <c r="AI24" s="2"/>
    </row>
    <row r="25" spans="1:35" ht="3" customHeight="1">
      <c r="A25" s="434"/>
      <c r="B25" s="233"/>
      <c r="C25" s="161"/>
      <c r="D25" s="40"/>
      <c r="E25" s="10"/>
      <c r="F25" s="10"/>
      <c r="G25" s="9"/>
      <c r="H25" s="9"/>
      <c r="I25" s="9"/>
      <c r="J25" s="10"/>
      <c r="K25" s="10"/>
      <c r="L25" s="10"/>
      <c r="M25" s="10"/>
      <c r="N25" s="10"/>
      <c r="O25" s="10"/>
      <c r="P25" s="146"/>
      <c r="Q25" s="40"/>
      <c r="R25" s="10"/>
      <c r="S25" s="10"/>
      <c r="T25" s="10"/>
      <c r="U25" s="10"/>
      <c r="V25" s="10"/>
      <c r="W25" s="10"/>
      <c r="X25" s="132"/>
      <c r="Y25" s="132"/>
      <c r="Z25" s="132"/>
      <c r="AA25" s="132"/>
      <c r="AB25" s="133"/>
      <c r="AC25" s="12"/>
      <c r="AF25" s="2"/>
      <c r="AG25" s="2"/>
      <c r="AH25" s="2"/>
      <c r="AI25" s="2"/>
    </row>
    <row r="26" spans="1:35" ht="15" customHeight="1">
      <c r="A26" s="434"/>
      <c r="B26" s="233"/>
      <c r="C26" s="161"/>
      <c r="D26" s="42" t="s">
        <v>46</v>
      </c>
      <c r="E26" s="10"/>
      <c r="F26" s="10"/>
      <c r="G26" s="5"/>
      <c r="H26" s="5"/>
      <c r="I26" s="2"/>
      <c r="J26" s="10"/>
      <c r="K26" s="10"/>
      <c r="L26" s="10"/>
      <c r="M26" s="10"/>
      <c r="N26" s="10"/>
      <c r="O26" s="10"/>
      <c r="P26" s="146"/>
      <c r="Q26" s="40">
        <v>4</v>
      </c>
      <c r="R26" s="10" t="s">
        <v>47</v>
      </c>
      <c r="S26" s="10"/>
      <c r="T26" s="10"/>
      <c r="U26" s="10"/>
      <c r="V26" s="10"/>
      <c r="W26" s="10" t="s">
        <v>41</v>
      </c>
      <c r="X26" s="432"/>
      <c r="Y26" s="432"/>
      <c r="Z26" s="432"/>
      <c r="AA26" s="432"/>
      <c r="AB26" s="433"/>
      <c r="AC26" s="12"/>
      <c r="AF26" s="2"/>
      <c r="AG26" s="2"/>
      <c r="AH26" s="2"/>
      <c r="AI26" s="2"/>
    </row>
    <row r="27" spans="1:35" ht="3" customHeight="1">
      <c r="A27" s="434"/>
      <c r="B27" s="233"/>
      <c r="C27" s="161"/>
      <c r="D27" s="40"/>
      <c r="E27" s="10"/>
      <c r="F27" s="10"/>
      <c r="G27" s="6"/>
      <c r="H27" s="6"/>
      <c r="I27" s="6"/>
      <c r="J27" s="10"/>
      <c r="K27" s="10"/>
      <c r="L27" s="10"/>
      <c r="M27" s="10"/>
      <c r="N27" s="10"/>
      <c r="O27" s="10"/>
      <c r="P27" s="146"/>
      <c r="Q27" s="40"/>
      <c r="R27" s="10"/>
      <c r="S27" s="10"/>
      <c r="T27" s="10"/>
      <c r="U27" s="10"/>
      <c r="V27" s="10"/>
      <c r="W27" s="10"/>
      <c r="X27" s="132"/>
      <c r="Y27" s="132"/>
      <c r="Z27" s="132"/>
      <c r="AA27" s="132"/>
      <c r="AB27" s="133"/>
      <c r="AC27" s="12"/>
      <c r="AF27" s="2"/>
      <c r="AG27" s="2"/>
      <c r="AH27" s="2"/>
      <c r="AI27" s="2"/>
    </row>
    <row r="28" spans="1:35" ht="15" customHeight="1">
      <c r="A28" s="434"/>
      <c r="B28" s="233"/>
      <c r="C28" s="161"/>
      <c r="D28" s="40" t="s">
        <v>48</v>
      </c>
      <c r="E28" s="10"/>
      <c r="F28" s="10"/>
      <c r="G28" s="5">
        <v>0</v>
      </c>
      <c r="H28" s="5">
        <v>5</v>
      </c>
      <c r="I28" s="463" t="s">
        <v>97</v>
      </c>
      <c r="J28" s="463"/>
      <c r="K28" s="463"/>
      <c r="L28" s="463"/>
      <c r="M28" s="463"/>
      <c r="N28" s="463"/>
      <c r="O28" s="126"/>
      <c r="P28" s="148"/>
      <c r="Q28" s="40">
        <v>5</v>
      </c>
      <c r="R28" s="10" t="s">
        <v>15</v>
      </c>
      <c r="S28" s="10"/>
      <c r="T28" s="10"/>
      <c r="U28" s="10"/>
      <c r="V28" s="10"/>
      <c r="W28" s="10" t="s">
        <v>41</v>
      </c>
      <c r="X28" s="432"/>
      <c r="Y28" s="432"/>
      <c r="Z28" s="432"/>
      <c r="AA28" s="432"/>
      <c r="AB28" s="433"/>
      <c r="AC28" s="12"/>
      <c r="AF28" s="2"/>
      <c r="AG28" s="2"/>
      <c r="AH28" s="2"/>
      <c r="AI28" s="2"/>
    </row>
    <row r="29" spans="1:29" ht="3" customHeight="1">
      <c r="A29" s="434"/>
      <c r="B29" s="233"/>
      <c r="C29" s="161"/>
      <c r="D29" s="40"/>
      <c r="E29" s="10"/>
      <c r="F29" s="10"/>
      <c r="G29" s="6"/>
      <c r="H29" s="6"/>
      <c r="I29" s="6"/>
      <c r="J29" s="10"/>
      <c r="K29" s="10"/>
      <c r="L29" s="10"/>
      <c r="M29" s="10"/>
      <c r="N29" s="10"/>
      <c r="O29" s="10"/>
      <c r="P29" s="146"/>
      <c r="Q29" s="40"/>
      <c r="R29" s="10"/>
      <c r="S29" s="10"/>
      <c r="T29" s="10"/>
      <c r="U29" s="10"/>
      <c r="V29" s="10"/>
      <c r="W29" s="10"/>
      <c r="X29" s="132"/>
      <c r="Y29" s="132"/>
      <c r="Z29" s="132"/>
      <c r="AA29" s="132"/>
      <c r="AB29" s="133"/>
      <c r="AC29" s="12"/>
    </row>
    <row r="30" spans="1:29" ht="15" customHeight="1">
      <c r="A30" s="434"/>
      <c r="B30" s="233"/>
      <c r="C30" s="161"/>
      <c r="D30" s="40" t="s">
        <v>49</v>
      </c>
      <c r="E30" s="10"/>
      <c r="F30" s="10"/>
      <c r="G30" s="5">
        <v>0</v>
      </c>
      <c r="H30" s="5">
        <v>1</v>
      </c>
      <c r="I30" s="5">
        <v>0</v>
      </c>
      <c r="J30" s="41" t="s">
        <v>98</v>
      </c>
      <c r="K30" s="10"/>
      <c r="L30" s="10"/>
      <c r="M30" s="10"/>
      <c r="N30" s="10"/>
      <c r="O30" s="10"/>
      <c r="P30" s="146"/>
      <c r="Q30" s="40">
        <v>6</v>
      </c>
      <c r="R30" s="430" t="s">
        <v>50</v>
      </c>
      <c r="S30" s="430"/>
      <c r="T30" s="430"/>
      <c r="U30" s="430"/>
      <c r="V30" s="430"/>
      <c r="W30" s="10" t="s">
        <v>41</v>
      </c>
      <c r="X30" s="435"/>
      <c r="Y30" s="435"/>
      <c r="Z30" s="435"/>
      <c r="AA30" s="435"/>
      <c r="AB30" s="436"/>
      <c r="AC30" s="12"/>
    </row>
    <row r="31" spans="1:29" ht="3" customHeight="1">
      <c r="A31" s="434"/>
      <c r="B31" s="233"/>
      <c r="C31" s="161"/>
      <c r="D31" s="43"/>
      <c r="E31" s="44"/>
      <c r="F31" s="44"/>
      <c r="G31" s="144"/>
      <c r="H31" s="144"/>
      <c r="I31" s="144"/>
      <c r="J31" s="55"/>
      <c r="K31" s="44"/>
      <c r="L31" s="44"/>
      <c r="M31" s="44"/>
      <c r="N31" s="44"/>
      <c r="O31" s="44"/>
      <c r="P31" s="146"/>
      <c r="Q31" s="40"/>
      <c r="R31" s="131"/>
      <c r="S31" s="131"/>
      <c r="T31" s="131"/>
      <c r="U31" s="131"/>
      <c r="V31" s="131"/>
      <c r="W31" s="10"/>
      <c r="X31" s="132"/>
      <c r="Y31" s="132"/>
      <c r="Z31" s="132"/>
      <c r="AA31" s="132"/>
      <c r="AB31" s="133"/>
      <c r="AC31" s="12"/>
    </row>
    <row r="32" spans="1:29" ht="3" customHeight="1">
      <c r="A32" s="434"/>
      <c r="B32" s="233"/>
      <c r="C32" s="161"/>
      <c r="D32" s="127"/>
      <c r="E32" s="128"/>
      <c r="F32" s="128"/>
      <c r="G32" s="154"/>
      <c r="H32" s="154"/>
      <c r="I32" s="154"/>
      <c r="J32" s="155"/>
      <c r="K32" s="128"/>
      <c r="L32" s="128"/>
      <c r="M32" s="128"/>
      <c r="N32" s="128"/>
      <c r="O32" s="129"/>
      <c r="P32" s="146"/>
      <c r="Q32" s="40"/>
      <c r="R32" s="131"/>
      <c r="S32" s="131"/>
      <c r="T32" s="131"/>
      <c r="U32" s="131"/>
      <c r="V32" s="131"/>
      <c r="W32" s="10"/>
      <c r="X32" s="132"/>
      <c r="Y32" s="132"/>
      <c r="Z32" s="132"/>
      <c r="AA32" s="132"/>
      <c r="AB32" s="133"/>
      <c r="AC32" s="12"/>
    </row>
    <row r="33" spans="1:29" ht="12" customHeight="1">
      <c r="A33" s="434"/>
      <c r="B33" s="233"/>
      <c r="C33" s="161"/>
      <c r="D33" s="42" t="s">
        <v>53</v>
      </c>
      <c r="E33" s="10"/>
      <c r="F33" s="10"/>
      <c r="G33" s="10"/>
      <c r="H33" s="29" t="s">
        <v>54</v>
      </c>
      <c r="I33" s="461" t="s">
        <v>55</v>
      </c>
      <c r="J33" s="462"/>
      <c r="K33" s="462"/>
      <c r="L33" s="462"/>
      <c r="M33" s="462"/>
      <c r="N33" s="29" t="s">
        <v>56</v>
      </c>
      <c r="O33" s="11"/>
      <c r="P33" s="146"/>
      <c r="Q33" s="40">
        <v>7</v>
      </c>
      <c r="R33" s="10" t="s">
        <v>51</v>
      </c>
      <c r="S33" s="10"/>
      <c r="T33" s="10"/>
      <c r="U33" s="10"/>
      <c r="V33" s="10"/>
      <c r="W33" s="10" t="s">
        <v>41</v>
      </c>
      <c r="X33" s="435"/>
      <c r="Y33" s="435"/>
      <c r="Z33" s="435"/>
      <c r="AA33" s="435"/>
      <c r="AB33" s="436"/>
      <c r="AC33" s="12"/>
    </row>
    <row r="34" spans="1:29" ht="3" customHeight="1">
      <c r="A34" s="434"/>
      <c r="B34" s="233"/>
      <c r="C34" s="161"/>
      <c r="D34" s="42"/>
      <c r="E34" s="10"/>
      <c r="F34" s="10"/>
      <c r="G34" s="10"/>
      <c r="H34" s="9"/>
      <c r="I34" s="41"/>
      <c r="J34" s="10"/>
      <c r="K34" s="10"/>
      <c r="L34" s="10"/>
      <c r="M34" s="9"/>
      <c r="N34" s="10"/>
      <c r="O34" s="11"/>
      <c r="P34" s="146"/>
      <c r="Q34" s="40"/>
      <c r="R34" s="10"/>
      <c r="S34" s="10"/>
      <c r="T34" s="10"/>
      <c r="U34" s="10"/>
      <c r="V34" s="10"/>
      <c r="W34" s="10"/>
      <c r="X34" s="132"/>
      <c r="Y34" s="132"/>
      <c r="Z34" s="132"/>
      <c r="AA34" s="132"/>
      <c r="AB34" s="133"/>
      <c r="AC34" s="12"/>
    </row>
    <row r="35" spans="1:29" ht="11.25" customHeight="1">
      <c r="A35" s="434"/>
      <c r="B35" s="233"/>
      <c r="C35" s="161"/>
      <c r="D35" s="458" t="s">
        <v>58</v>
      </c>
      <c r="E35" s="459"/>
      <c r="F35" s="459"/>
      <c r="G35" s="459"/>
      <c r="H35" s="459"/>
      <c r="I35" s="405">
        <v>2</v>
      </c>
      <c r="J35" s="405">
        <v>2</v>
      </c>
      <c r="K35" s="405">
        <v>0</v>
      </c>
      <c r="L35" s="405">
        <v>2</v>
      </c>
      <c r="M35" s="10"/>
      <c r="N35" s="10"/>
      <c r="O35" s="11"/>
      <c r="P35" s="146"/>
      <c r="Q35" s="40">
        <v>8</v>
      </c>
      <c r="R35" s="10" t="s">
        <v>52</v>
      </c>
      <c r="S35" s="10"/>
      <c r="T35" s="10"/>
      <c r="U35" s="10"/>
      <c r="V35" s="10"/>
      <c r="W35" s="10" t="s">
        <v>41</v>
      </c>
      <c r="X35" s="132"/>
      <c r="Y35" s="435"/>
      <c r="Z35" s="435"/>
      <c r="AA35" s="435"/>
      <c r="AB35" s="436"/>
      <c r="AC35" s="12"/>
    </row>
    <row r="36" spans="1:29" ht="11.25" customHeight="1">
      <c r="A36" s="434"/>
      <c r="B36" s="233"/>
      <c r="C36" s="161"/>
      <c r="D36" s="458" t="s">
        <v>60</v>
      </c>
      <c r="E36" s="459"/>
      <c r="F36" s="459"/>
      <c r="G36" s="459"/>
      <c r="H36" s="459"/>
      <c r="I36" s="405"/>
      <c r="J36" s="405"/>
      <c r="K36" s="405"/>
      <c r="L36" s="405"/>
      <c r="M36" s="10"/>
      <c r="N36" s="10"/>
      <c r="O36" s="11"/>
      <c r="P36" s="146"/>
      <c r="Q36" s="40">
        <v>9</v>
      </c>
      <c r="R36" s="10" t="s">
        <v>57</v>
      </c>
      <c r="S36" s="10"/>
      <c r="T36" s="10"/>
      <c r="U36" s="10"/>
      <c r="V36" s="10"/>
      <c r="W36" s="10" t="s">
        <v>41</v>
      </c>
      <c r="X36" s="132"/>
      <c r="Y36" s="435"/>
      <c r="Z36" s="435"/>
      <c r="AA36" s="435"/>
      <c r="AB36" s="436"/>
      <c r="AC36" s="12"/>
    </row>
    <row r="37" spans="1:29" ht="3" customHeight="1">
      <c r="A37" s="434"/>
      <c r="B37" s="233"/>
      <c r="C37" s="161"/>
      <c r="D37" s="4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46"/>
      <c r="Q37" s="145"/>
      <c r="R37" s="2"/>
      <c r="S37" s="2"/>
      <c r="T37" s="2"/>
      <c r="U37" s="2"/>
      <c r="V37" s="2"/>
      <c r="W37" s="2"/>
      <c r="X37" s="108"/>
      <c r="Y37" s="108"/>
      <c r="Z37" s="108"/>
      <c r="AA37" s="108"/>
      <c r="AB37" s="215"/>
      <c r="AC37" s="12"/>
    </row>
    <row r="38" spans="1:29" ht="12.75">
      <c r="A38" s="434"/>
      <c r="B38" s="233"/>
      <c r="C38" s="161"/>
      <c r="D38" s="4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46"/>
      <c r="Q38" s="40">
        <v>10</v>
      </c>
      <c r="R38" s="10" t="s">
        <v>59</v>
      </c>
      <c r="S38" s="10"/>
      <c r="T38" s="10"/>
      <c r="U38" s="10"/>
      <c r="V38" s="10"/>
      <c r="W38" s="10" t="s">
        <v>41</v>
      </c>
      <c r="X38" s="132"/>
      <c r="Y38" s="435"/>
      <c r="Z38" s="435"/>
      <c r="AA38" s="435"/>
      <c r="AB38" s="436"/>
      <c r="AC38" s="162"/>
    </row>
    <row r="39" spans="1:29" ht="12.75">
      <c r="A39" s="434"/>
      <c r="B39" s="233"/>
      <c r="C39" s="161"/>
      <c r="D39" s="42" t="s">
        <v>64</v>
      </c>
      <c r="E39" s="10"/>
      <c r="F39" s="10"/>
      <c r="G39" s="10"/>
      <c r="H39" s="10"/>
      <c r="I39" s="10" t="s">
        <v>41</v>
      </c>
      <c r="J39" s="432">
        <v>0</v>
      </c>
      <c r="K39" s="432"/>
      <c r="L39" s="432"/>
      <c r="M39" s="432"/>
      <c r="N39" s="432"/>
      <c r="O39" s="122"/>
      <c r="P39" s="149"/>
      <c r="Q39" s="40">
        <v>11</v>
      </c>
      <c r="R39" s="10" t="s">
        <v>61</v>
      </c>
      <c r="S39" s="10"/>
      <c r="T39" s="10"/>
      <c r="U39" s="10"/>
      <c r="V39" s="10"/>
      <c r="W39" s="10" t="s">
        <v>41</v>
      </c>
      <c r="X39" s="132"/>
      <c r="Y39" s="435"/>
      <c r="Z39" s="435"/>
      <c r="AA39" s="435"/>
      <c r="AB39" s="436"/>
      <c r="AC39" s="12"/>
    </row>
    <row r="40" spans="1:29" ht="12.75">
      <c r="A40" s="434"/>
      <c r="B40" s="233"/>
      <c r="C40" s="161"/>
      <c r="D40" s="42" t="s">
        <v>91</v>
      </c>
      <c r="E40" s="10"/>
      <c r="F40" s="10"/>
      <c r="G40" s="10"/>
      <c r="H40" s="10"/>
      <c r="I40" s="10" t="s">
        <v>41</v>
      </c>
      <c r="J40" s="432">
        <f>BILL!D17</f>
        <v>4000</v>
      </c>
      <c r="K40" s="432"/>
      <c r="L40" s="432"/>
      <c r="M40" s="432"/>
      <c r="N40" s="432"/>
      <c r="O40" s="122"/>
      <c r="P40" s="149"/>
      <c r="Q40" s="40">
        <v>12</v>
      </c>
      <c r="R40" s="10" t="s">
        <v>62</v>
      </c>
      <c r="S40" s="10"/>
      <c r="T40" s="10"/>
      <c r="U40" s="10"/>
      <c r="V40" s="10"/>
      <c r="W40" s="10" t="s">
        <v>41</v>
      </c>
      <c r="X40" s="132"/>
      <c r="Y40" s="435"/>
      <c r="Z40" s="435"/>
      <c r="AA40" s="435"/>
      <c r="AB40" s="436"/>
      <c r="AC40" s="12"/>
    </row>
    <row r="41" spans="1:29" ht="12.75">
      <c r="A41" s="434"/>
      <c r="B41" s="233"/>
      <c r="C41" s="161"/>
      <c r="D41" s="42" t="s">
        <v>66</v>
      </c>
      <c r="E41" s="10"/>
      <c r="F41" s="10"/>
      <c r="G41" s="10"/>
      <c r="H41" s="10"/>
      <c r="I41" s="10" t="s">
        <v>41</v>
      </c>
      <c r="J41" s="432">
        <f>BILL!G17</f>
        <v>0</v>
      </c>
      <c r="K41" s="432"/>
      <c r="L41" s="432"/>
      <c r="M41" s="432"/>
      <c r="N41" s="432"/>
      <c r="O41" s="122"/>
      <c r="P41" s="149"/>
      <c r="Q41" s="40">
        <v>13</v>
      </c>
      <c r="R41" s="10" t="s">
        <v>63</v>
      </c>
      <c r="S41" s="10"/>
      <c r="T41" s="10"/>
      <c r="U41" s="10"/>
      <c r="V41" s="10"/>
      <c r="W41" s="10" t="s">
        <v>41</v>
      </c>
      <c r="X41" s="132"/>
      <c r="Y41" s="435"/>
      <c r="Z41" s="435"/>
      <c r="AA41" s="435"/>
      <c r="AB41" s="436"/>
      <c r="AC41" s="12"/>
    </row>
    <row r="42" spans="1:29" ht="12.75">
      <c r="A42" s="434"/>
      <c r="B42" s="233"/>
      <c r="C42" s="161"/>
      <c r="D42" s="42" t="s">
        <v>92</v>
      </c>
      <c r="E42" s="10"/>
      <c r="F42" s="10"/>
      <c r="G42" s="10"/>
      <c r="H42" s="10"/>
      <c r="I42" s="10" t="s">
        <v>41</v>
      </c>
      <c r="J42" s="432">
        <f>BILL!K17</f>
        <v>0</v>
      </c>
      <c r="K42" s="432"/>
      <c r="L42" s="432"/>
      <c r="M42" s="432"/>
      <c r="N42" s="432"/>
      <c r="O42" s="122"/>
      <c r="P42" s="149"/>
      <c r="Q42" s="40">
        <v>14</v>
      </c>
      <c r="R42" s="10" t="s">
        <v>297</v>
      </c>
      <c r="S42" s="10"/>
      <c r="T42" s="10"/>
      <c r="U42" s="10"/>
      <c r="V42" s="10"/>
      <c r="W42" s="10" t="s">
        <v>41</v>
      </c>
      <c r="X42" s="132"/>
      <c r="Y42" s="435"/>
      <c r="Z42" s="435"/>
      <c r="AA42" s="435"/>
      <c r="AB42" s="436"/>
      <c r="AC42" s="12"/>
    </row>
    <row r="43" spans="1:29" ht="12.75">
      <c r="A43" s="434"/>
      <c r="B43" s="233"/>
      <c r="C43" s="161"/>
      <c r="D43" s="42" t="s">
        <v>93</v>
      </c>
      <c r="E43" s="10"/>
      <c r="F43" s="10"/>
      <c r="G43" s="10"/>
      <c r="H43" s="10"/>
      <c r="I43" s="10" t="s">
        <v>41</v>
      </c>
      <c r="J43" s="432">
        <f>BILL!H17</f>
        <v>0</v>
      </c>
      <c r="K43" s="432"/>
      <c r="L43" s="432"/>
      <c r="M43" s="432"/>
      <c r="N43" s="432"/>
      <c r="O43" s="122"/>
      <c r="P43" s="149"/>
      <c r="Q43" s="40">
        <v>15</v>
      </c>
      <c r="R43" s="10" t="s">
        <v>65</v>
      </c>
      <c r="S43" s="10"/>
      <c r="T43" s="10"/>
      <c r="U43" s="10"/>
      <c r="V43" s="10"/>
      <c r="W43" s="10" t="s">
        <v>41</v>
      </c>
      <c r="X43" s="132"/>
      <c r="Y43" s="435"/>
      <c r="Z43" s="435"/>
      <c r="AA43" s="435"/>
      <c r="AB43" s="436"/>
      <c r="AC43" s="12"/>
    </row>
    <row r="44" spans="1:29" ht="12.75">
      <c r="A44" s="434"/>
      <c r="B44" s="233"/>
      <c r="C44" s="161"/>
      <c r="D44" s="40"/>
      <c r="E44" s="41"/>
      <c r="F44" s="10"/>
      <c r="G44" s="10"/>
      <c r="H44" s="10"/>
      <c r="I44" s="10" t="s">
        <v>41</v>
      </c>
      <c r="J44" s="432"/>
      <c r="K44" s="432"/>
      <c r="L44" s="432"/>
      <c r="M44" s="432"/>
      <c r="N44" s="432"/>
      <c r="O44" s="122"/>
      <c r="P44" s="149"/>
      <c r="Q44" s="40">
        <v>16</v>
      </c>
      <c r="R44" s="10" t="s">
        <v>67</v>
      </c>
      <c r="S44" s="10"/>
      <c r="T44" s="10"/>
      <c r="U44" s="10"/>
      <c r="V44" s="10"/>
      <c r="W44" s="10" t="s">
        <v>41</v>
      </c>
      <c r="X44" s="132"/>
      <c r="Y44" s="435"/>
      <c r="Z44" s="435"/>
      <c r="AA44" s="435"/>
      <c r="AB44" s="436"/>
      <c r="AC44" s="12"/>
    </row>
    <row r="45" spans="1:29" ht="12.75">
      <c r="A45" s="434"/>
      <c r="B45" s="233"/>
      <c r="C45" s="161"/>
      <c r="D45" s="40"/>
      <c r="E45" s="10"/>
      <c r="F45" s="10"/>
      <c r="G45" s="10"/>
      <c r="H45" s="10"/>
      <c r="I45" s="10" t="s">
        <v>41</v>
      </c>
      <c r="J45" s="404"/>
      <c r="K45" s="404"/>
      <c r="L45" s="404"/>
      <c r="M45" s="404"/>
      <c r="N45" s="404"/>
      <c r="O45" s="119"/>
      <c r="P45" s="150"/>
      <c r="Q45" s="40">
        <v>17</v>
      </c>
      <c r="R45" s="10" t="s">
        <v>16</v>
      </c>
      <c r="S45" s="10"/>
      <c r="T45" s="10"/>
      <c r="U45" s="10"/>
      <c r="V45" s="10"/>
      <c r="W45" s="10" t="s">
        <v>41</v>
      </c>
      <c r="X45" s="121"/>
      <c r="Y45" s="435"/>
      <c r="Z45" s="435"/>
      <c r="AA45" s="435"/>
      <c r="AB45" s="436"/>
      <c r="AC45" s="12"/>
    </row>
    <row r="46" spans="1:29" ht="12.75">
      <c r="A46" s="434"/>
      <c r="B46" s="233"/>
      <c r="C46" s="161"/>
      <c r="D46" s="40"/>
      <c r="E46" s="10"/>
      <c r="F46" s="46" t="e">
        <v>#REF!</v>
      </c>
      <c r="G46" s="10"/>
      <c r="H46" s="10"/>
      <c r="I46" s="10" t="s">
        <v>41</v>
      </c>
      <c r="J46" s="404"/>
      <c r="K46" s="404"/>
      <c r="L46" s="404"/>
      <c r="M46" s="404"/>
      <c r="N46" s="404"/>
      <c r="O46" s="119"/>
      <c r="P46" s="150"/>
      <c r="Q46" s="40">
        <v>18</v>
      </c>
      <c r="R46" s="10" t="s">
        <v>68</v>
      </c>
      <c r="S46" s="10"/>
      <c r="T46" s="10"/>
      <c r="U46" s="10"/>
      <c r="V46" s="10"/>
      <c r="W46" s="10" t="s">
        <v>41</v>
      </c>
      <c r="X46" s="132"/>
      <c r="Y46" s="435"/>
      <c r="Z46" s="435"/>
      <c r="AA46" s="435"/>
      <c r="AB46" s="436"/>
      <c r="AC46" s="12"/>
    </row>
    <row r="47" spans="1:29" ht="12.75">
      <c r="A47" s="434"/>
      <c r="B47" s="233"/>
      <c r="C47" s="161"/>
      <c r="D47" s="40"/>
      <c r="E47" s="10"/>
      <c r="F47" s="10"/>
      <c r="G47" s="10"/>
      <c r="H47" s="10"/>
      <c r="I47" s="10" t="s">
        <v>41</v>
      </c>
      <c r="J47" s="404"/>
      <c r="K47" s="404"/>
      <c r="L47" s="404"/>
      <c r="M47" s="404"/>
      <c r="N47" s="404"/>
      <c r="O47" s="119"/>
      <c r="P47" s="150"/>
      <c r="Q47" s="40">
        <v>19</v>
      </c>
      <c r="R47" s="10" t="s">
        <v>69</v>
      </c>
      <c r="S47" s="10"/>
      <c r="T47" s="10"/>
      <c r="U47" s="10"/>
      <c r="V47" s="10"/>
      <c r="W47" s="10" t="s">
        <v>41</v>
      </c>
      <c r="X47" s="132"/>
      <c r="Y47" s="435"/>
      <c r="Z47" s="435"/>
      <c r="AA47" s="435"/>
      <c r="AB47" s="436"/>
      <c r="AC47" s="12"/>
    </row>
    <row r="48" spans="1:29" ht="12.75">
      <c r="A48" s="434"/>
      <c r="B48" s="233"/>
      <c r="C48" s="161"/>
      <c r="D48" s="40"/>
      <c r="E48" s="10"/>
      <c r="F48" s="10"/>
      <c r="G48" s="10"/>
      <c r="H48" s="10"/>
      <c r="I48" s="10" t="s">
        <v>41</v>
      </c>
      <c r="J48" s="404"/>
      <c r="K48" s="404"/>
      <c r="L48" s="404"/>
      <c r="M48" s="404"/>
      <c r="N48" s="404"/>
      <c r="O48" s="119"/>
      <c r="P48" s="150"/>
      <c r="Q48" s="40">
        <v>20</v>
      </c>
      <c r="R48" s="10" t="s">
        <v>70</v>
      </c>
      <c r="S48" s="10"/>
      <c r="T48" s="10"/>
      <c r="U48" s="10"/>
      <c r="V48" s="10"/>
      <c r="W48" s="10" t="s">
        <v>41</v>
      </c>
      <c r="X48" s="121"/>
      <c r="Y48" s="432"/>
      <c r="Z48" s="432"/>
      <c r="AA48" s="432"/>
      <c r="AB48" s="433"/>
      <c r="AC48" s="12"/>
    </row>
    <row r="49" spans="1:29" ht="12.75">
      <c r="A49" s="434"/>
      <c r="B49" s="233"/>
      <c r="C49" s="161"/>
      <c r="D49" s="40"/>
      <c r="E49" s="10"/>
      <c r="F49" s="10"/>
      <c r="G49" s="10"/>
      <c r="H49" s="10"/>
      <c r="I49" s="10" t="s">
        <v>41</v>
      </c>
      <c r="J49" s="404"/>
      <c r="K49" s="404"/>
      <c r="L49" s="404"/>
      <c r="M49" s="404"/>
      <c r="N49" s="404"/>
      <c r="O49" s="119"/>
      <c r="P49" s="150"/>
      <c r="Q49" s="40">
        <v>21</v>
      </c>
      <c r="R49" s="10" t="s">
        <v>296</v>
      </c>
      <c r="S49" s="10"/>
      <c r="T49" s="10"/>
      <c r="U49" s="10"/>
      <c r="V49" s="10"/>
      <c r="W49" s="10" t="s">
        <v>41</v>
      </c>
      <c r="X49" s="132"/>
      <c r="Y49" s="432"/>
      <c r="Z49" s="432"/>
      <c r="AA49" s="432"/>
      <c r="AB49" s="433"/>
      <c r="AC49" s="162"/>
    </row>
    <row r="50" spans="1:29" ht="12.75">
      <c r="A50" s="434"/>
      <c r="B50" s="233"/>
      <c r="C50" s="161"/>
      <c r="D50" s="40"/>
      <c r="E50" s="10"/>
      <c r="F50" s="10"/>
      <c r="G50" s="10"/>
      <c r="H50" s="10"/>
      <c r="I50" s="10" t="s">
        <v>41</v>
      </c>
      <c r="J50" s="404"/>
      <c r="K50" s="404"/>
      <c r="L50" s="404"/>
      <c r="M50" s="404"/>
      <c r="N50" s="404"/>
      <c r="O50" s="119"/>
      <c r="P50" s="150"/>
      <c r="Q50" s="40">
        <v>22</v>
      </c>
      <c r="R50" s="10" t="s">
        <v>298</v>
      </c>
      <c r="S50" s="10"/>
      <c r="T50" s="10"/>
      <c r="U50" s="10"/>
      <c r="V50" s="10"/>
      <c r="W50" s="10" t="s">
        <v>41</v>
      </c>
      <c r="X50" s="132"/>
      <c r="Y50" s="432"/>
      <c r="Z50" s="432"/>
      <c r="AA50" s="432"/>
      <c r="AB50" s="433"/>
      <c r="AC50" s="12"/>
    </row>
    <row r="51" spans="1:29" ht="12.75">
      <c r="A51" s="434"/>
      <c r="B51" s="233"/>
      <c r="C51" s="161"/>
      <c r="D51" s="40"/>
      <c r="E51" s="10"/>
      <c r="F51" s="10"/>
      <c r="G51" s="10"/>
      <c r="H51" s="10"/>
      <c r="I51" s="10" t="s">
        <v>41</v>
      </c>
      <c r="J51" s="404"/>
      <c r="K51" s="404"/>
      <c r="L51" s="404"/>
      <c r="M51" s="404"/>
      <c r="N51" s="404"/>
      <c r="O51" s="119"/>
      <c r="P51" s="150"/>
      <c r="Q51" s="40">
        <v>23</v>
      </c>
      <c r="R51" s="10" t="s">
        <v>182</v>
      </c>
      <c r="S51" s="10"/>
      <c r="T51" s="10"/>
      <c r="U51" s="10"/>
      <c r="V51" s="10"/>
      <c r="W51" s="10" t="s">
        <v>41</v>
      </c>
      <c r="X51" s="132"/>
      <c r="Y51" s="435"/>
      <c r="Z51" s="435"/>
      <c r="AA51" s="435"/>
      <c r="AB51" s="436"/>
      <c r="AC51" s="12"/>
    </row>
    <row r="52" spans="1:29" ht="12.75">
      <c r="A52" s="434"/>
      <c r="B52" s="233"/>
      <c r="C52" s="161"/>
      <c r="D52" s="40" t="s">
        <v>72</v>
      </c>
      <c r="E52" s="10"/>
      <c r="F52" s="10"/>
      <c r="G52" s="10"/>
      <c r="H52" s="10"/>
      <c r="I52" s="10" t="s">
        <v>41</v>
      </c>
      <c r="J52" s="446">
        <f>SUM(J39:N43)</f>
        <v>4000</v>
      </c>
      <c r="K52" s="446"/>
      <c r="L52" s="446"/>
      <c r="M52" s="446"/>
      <c r="N52" s="446"/>
      <c r="O52" s="120"/>
      <c r="P52" s="151"/>
      <c r="Q52" s="40">
        <v>24</v>
      </c>
      <c r="R52" s="10" t="s">
        <v>299</v>
      </c>
      <c r="S52" s="10"/>
      <c r="T52" s="10"/>
      <c r="U52" s="10"/>
      <c r="V52" s="10"/>
      <c r="W52" s="10" t="s">
        <v>41</v>
      </c>
      <c r="X52" s="132"/>
      <c r="Y52" s="435"/>
      <c r="Z52" s="435"/>
      <c r="AA52" s="435"/>
      <c r="AB52" s="436"/>
      <c r="AC52" s="12"/>
    </row>
    <row r="53" spans="1:29" ht="12.75">
      <c r="A53" s="434"/>
      <c r="B53" s="233"/>
      <c r="C53" s="161"/>
      <c r="D53" s="40" t="s">
        <v>74</v>
      </c>
      <c r="E53" s="10"/>
      <c r="F53" s="10"/>
      <c r="G53" s="10"/>
      <c r="H53" s="10"/>
      <c r="I53" s="10" t="s">
        <v>41</v>
      </c>
      <c r="J53" s="455">
        <f>BILL!U17</f>
        <v>0</v>
      </c>
      <c r="K53" s="455"/>
      <c r="L53" s="455"/>
      <c r="M53" s="455"/>
      <c r="N53" s="455"/>
      <c r="O53" s="120"/>
      <c r="P53" s="151"/>
      <c r="Q53" s="40">
        <v>25</v>
      </c>
      <c r="R53" s="10" t="s">
        <v>16</v>
      </c>
      <c r="S53" s="10"/>
      <c r="T53" s="10"/>
      <c r="U53" s="10"/>
      <c r="V53" s="10"/>
      <c r="W53" s="10" t="s">
        <v>41</v>
      </c>
      <c r="X53" s="132"/>
      <c r="Y53" s="432"/>
      <c r="Z53" s="432"/>
      <c r="AA53" s="432"/>
      <c r="AB53" s="433"/>
      <c r="AC53" s="12"/>
    </row>
    <row r="54" spans="1:31" ht="12.75">
      <c r="A54" s="434"/>
      <c r="B54" s="233"/>
      <c r="C54" s="161"/>
      <c r="D54" s="40" t="s">
        <v>75</v>
      </c>
      <c r="E54" s="10"/>
      <c r="F54" s="10"/>
      <c r="G54" s="10"/>
      <c r="H54" s="10"/>
      <c r="I54" s="10" t="s">
        <v>41</v>
      </c>
      <c r="J54" s="446">
        <f>BILL!V17</f>
        <v>4000</v>
      </c>
      <c r="K54" s="446"/>
      <c r="L54" s="446"/>
      <c r="M54" s="446"/>
      <c r="N54" s="446"/>
      <c r="O54" s="120"/>
      <c r="P54" s="151"/>
      <c r="Q54" s="47" t="s">
        <v>71</v>
      </c>
      <c r="R54" s="48"/>
      <c r="S54" s="48"/>
      <c r="T54" s="48"/>
      <c r="U54" s="48"/>
      <c r="V54" s="48"/>
      <c r="W54" s="48" t="s">
        <v>41</v>
      </c>
      <c r="X54" s="153">
        <f>BILL!U17</f>
        <v>0</v>
      </c>
      <c r="Y54" s="446">
        <f>BILL!U17</f>
        <v>0</v>
      </c>
      <c r="Z54" s="446"/>
      <c r="AA54" s="446"/>
      <c r="AB54" s="447"/>
      <c r="AC54" s="12"/>
      <c r="AE54" s="222"/>
    </row>
    <row r="55" spans="1:29" ht="12.75">
      <c r="A55" s="434"/>
      <c r="B55" s="233"/>
      <c r="C55" s="161"/>
      <c r="D55" s="40" t="s">
        <v>99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46"/>
      <c r="Q55" s="42" t="s">
        <v>73</v>
      </c>
      <c r="R55" s="10"/>
      <c r="S55" s="10"/>
      <c r="T55" s="10"/>
      <c r="U55" s="10"/>
      <c r="V55" s="10"/>
      <c r="W55" s="49" t="s">
        <v>41</v>
      </c>
      <c r="X55" s="196"/>
      <c r="Y55" s="448">
        <f>BILL!W17</f>
        <v>0</v>
      </c>
      <c r="Z55" s="448"/>
      <c r="AA55" s="448"/>
      <c r="AB55" s="449"/>
      <c r="AC55" s="12"/>
    </row>
    <row r="56" spans="1:29" ht="25.5" customHeight="1">
      <c r="A56" s="434"/>
      <c r="B56" s="233"/>
      <c r="C56" s="161"/>
      <c r="D56" s="451" t="str">
        <f>DATA!C189</f>
        <v> FOUR  THOUSAND ONLY.</v>
      </c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156"/>
      <c r="P56" s="152"/>
      <c r="Q56" s="137"/>
      <c r="R56" s="50"/>
      <c r="S56" s="50"/>
      <c r="T56" s="50"/>
      <c r="U56" s="50"/>
      <c r="V56" s="51"/>
      <c r="W56" s="51"/>
      <c r="X56" s="51"/>
      <c r="Y56" s="102"/>
      <c r="Z56" s="51"/>
      <c r="AA56" s="51"/>
      <c r="AB56" s="52"/>
      <c r="AC56" s="12"/>
    </row>
    <row r="57" spans="1:29" ht="12.75">
      <c r="A57" s="434"/>
      <c r="B57" s="233"/>
      <c r="C57" s="161"/>
      <c r="D57" s="453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157"/>
      <c r="P57" s="152"/>
      <c r="Q57" s="40"/>
      <c r="R57" s="10"/>
      <c r="S57" s="10"/>
      <c r="T57" s="10"/>
      <c r="U57" s="10"/>
      <c r="V57" s="404" t="s">
        <v>304</v>
      </c>
      <c r="W57" s="404"/>
      <c r="X57" s="404"/>
      <c r="Y57" s="404"/>
      <c r="Z57" s="404"/>
      <c r="AA57" s="404"/>
      <c r="AB57" s="450"/>
      <c r="AC57" s="12"/>
    </row>
    <row r="58" spans="1:29" ht="19.5" customHeight="1">
      <c r="A58" s="434"/>
      <c r="B58" s="233"/>
      <c r="C58" s="161"/>
      <c r="D58" s="443" t="s">
        <v>76</v>
      </c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5"/>
      <c r="AC58" s="12"/>
    </row>
    <row r="59" spans="1:29" ht="18" customHeight="1">
      <c r="A59" s="434"/>
      <c r="B59" s="233"/>
      <c r="C59" s="161"/>
      <c r="D59" s="40" t="s">
        <v>308</v>
      </c>
      <c r="E59" s="2"/>
      <c r="F59" s="10" t="s">
        <v>169</v>
      </c>
      <c r="G59" s="10"/>
      <c r="H59" s="10"/>
      <c r="I59" s="10"/>
      <c r="J59" s="10" t="s">
        <v>171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211"/>
      <c r="Z59" s="10"/>
      <c r="AA59" s="10"/>
      <c r="AB59" s="11"/>
      <c r="AC59" s="12"/>
    </row>
    <row r="60" spans="1:29" ht="18" customHeight="1">
      <c r="A60" s="434"/>
      <c r="B60" s="233"/>
      <c r="C60" s="161"/>
      <c r="D60" s="53" t="s">
        <v>172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211"/>
      <c r="Z60" s="10"/>
      <c r="AA60" s="10"/>
      <c r="AB60" s="11"/>
      <c r="AC60" s="12"/>
    </row>
    <row r="61" spans="1:29" ht="18" customHeight="1">
      <c r="A61" s="434"/>
      <c r="B61" s="233"/>
      <c r="C61" s="161"/>
      <c r="D61" s="440" t="s">
        <v>173</v>
      </c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2"/>
      <c r="AC61" s="12"/>
    </row>
    <row r="62" spans="1:29" ht="18" customHeight="1">
      <c r="A62" s="434"/>
      <c r="B62" s="233"/>
      <c r="C62" s="161"/>
      <c r="D62" s="53" t="s">
        <v>174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211"/>
      <c r="Z62" s="10"/>
      <c r="AA62" s="10"/>
      <c r="AB62" s="11"/>
      <c r="AC62" s="12"/>
    </row>
    <row r="63" spans="1:29" ht="15" customHeight="1">
      <c r="A63" s="434"/>
      <c r="B63" s="233"/>
      <c r="C63" s="161"/>
      <c r="D63" s="4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211"/>
      <c r="Z63" s="10"/>
      <c r="AA63" s="10"/>
      <c r="AB63" s="11"/>
      <c r="AC63" s="12"/>
    </row>
    <row r="64" spans="1:29" ht="15" customHeight="1">
      <c r="A64" s="434"/>
      <c r="B64" s="233"/>
      <c r="C64" s="161"/>
      <c r="D64" s="40"/>
      <c r="E64" s="10"/>
      <c r="F64" s="2"/>
      <c r="G64" s="2"/>
      <c r="H64" s="2"/>
      <c r="I64" s="54" t="s">
        <v>305</v>
      </c>
      <c r="J64" s="2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211"/>
      <c r="Z64" s="10"/>
      <c r="AA64" s="10"/>
      <c r="AB64" s="11"/>
      <c r="AC64" s="12"/>
    </row>
    <row r="65" spans="1:29" ht="15" customHeight="1">
      <c r="A65" s="434"/>
      <c r="B65" s="233"/>
      <c r="C65" s="161"/>
      <c r="D65" s="40"/>
      <c r="E65" s="10"/>
      <c r="F65" s="2"/>
      <c r="G65" s="2"/>
      <c r="H65" s="10"/>
      <c r="I65" s="54" t="s">
        <v>306</v>
      </c>
      <c r="J65" s="2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211"/>
      <c r="Z65" s="10"/>
      <c r="AA65" s="10"/>
      <c r="AB65" s="11"/>
      <c r="AC65" s="12"/>
    </row>
    <row r="66" spans="1:29" ht="12.75">
      <c r="A66" s="434"/>
      <c r="B66" s="233"/>
      <c r="C66" s="161"/>
      <c r="D66" s="4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211"/>
      <c r="Z66" s="10"/>
      <c r="AA66" s="10"/>
      <c r="AB66" s="11"/>
      <c r="AC66" s="12"/>
    </row>
    <row r="67" spans="1:29" ht="24.75" customHeight="1">
      <c r="A67" s="434"/>
      <c r="B67" s="233"/>
      <c r="C67" s="161"/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55" t="s">
        <v>77</v>
      </c>
      <c r="R67" s="44"/>
      <c r="S67" s="28"/>
      <c r="T67" s="44"/>
      <c r="U67" s="44"/>
      <c r="V67" s="44"/>
      <c r="W67" s="44"/>
      <c r="X67" s="44"/>
      <c r="Y67" s="165"/>
      <c r="Z67" s="44"/>
      <c r="AA67" s="44"/>
      <c r="AB67" s="45"/>
      <c r="AC67" s="12"/>
    </row>
    <row r="68" spans="1:29" ht="3" customHeight="1">
      <c r="A68" s="4"/>
      <c r="B68" s="4"/>
      <c r="C68" s="163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16"/>
      <c r="Z68" s="28"/>
      <c r="AA68" s="28"/>
      <c r="AB68" s="28"/>
      <c r="AC68" s="13"/>
    </row>
    <row r="69" spans="1:3" ht="12.75">
      <c r="A69" s="4"/>
      <c r="B69" s="4"/>
      <c r="C69" s="4"/>
    </row>
    <row r="70" spans="1:3" ht="12.75">
      <c r="A70" s="4"/>
      <c r="B70" s="4"/>
      <c r="C70" s="4"/>
    </row>
  </sheetData>
  <sheetProtection/>
  <mergeCells count="78">
    <mergeCell ref="J43:N43"/>
    <mergeCell ref="J45:N45"/>
    <mergeCell ref="D16:G16"/>
    <mergeCell ref="J46:N46"/>
    <mergeCell ref="J48:N48"/>
    <mergeCell ref="J47:N47"/>
    <mergeCell ref="J40:N40"/>
    <mergeCell ref="J42:N42"/>
    <mergeCell ref="J44:N44"/>
    <mergeCell ref="J41:N41"/>
    <mergeCell ref="J39:N39"/>
    <mergeCell ref="D35:H35"/>
    <mergeCell ref="D12:G12"/>
    <mergeCell ref="D36:H36"/>
    <mergeCell ref="I35:I36"/>
    <mergeCell ref="D14:G14"/>
    <mergeCell ref="H14:N14"/>
    <mergeCell ref="I33:M33"/>
    <mergeCell ref="I28:N28"/>
    <mergeCell ref="J24:N24"/>
    <mergeCell ref="T12:AB12"/>
    <mergeCell ref="K35:K36"/>
    <mergeCell ref="L35:L36"/>
    <mergeCell ref="J35:J36"/>
    <mergeCell ref="X26:AB26"/>
    <mergeCell ref="X30:AB30"/>
    <mergeCell ref="X33:AB33"/>
    <mergeCell ref="Y35:AB35"/>
    <mergeCell ref="H16:N16"/>
    <mergeCell ref="V57:AB57"/>
    <mergeCell ref="Y52:AB52"/>
    <mergeCell ref="D56:N57"/>
    <mergeCell ref="J53:N53"/>
    <mergeCell ref="J54:N54"/>
    <mergeCell ref="Y44:AB44"/>
    <mergeCell ref="Y50:AB50"/>
    <mergeCell ref="Y49:AB49"/>
    <mergeCell ref="J50:N50"/>
    <mergeCell ref="Y40:AB40"/>
    <mergeCell ref="Y47:AB47"/>
    <mergeCell ref="D58:AB58"/>
    <mergeCell ref="J51:N51"/>
    <mergeCell ref="J52:N52"/>
    <mergeCell ref="Y53:AB53"/>
    <mergeCell ref="Y54:AB54"/>
    <mergeCell ref="Y51:AB51"/>
    <mergeCell ref="Y55:AB55"/>
    <mergeCell ref="J49:N49"/>
    <mergeCell ref="D3:AB3"/>
    <mergeCell ref="D10:G10"/>
    <mergeCell ref="X20:AB20"/>
    <mergeCell ref="D61:AB61"/>
    <mergeCell ref="X28:AB28"/>
    <mergeCell ref="Y48:AB48"/>
    <mergeCell ref="Y36:AB36"/>
    <mergeCell ref="Y38:AB38"/>
    <mergeCell ref="Y39:AB39"/>
    <mergeCell ref="Y41:AB41"/>
    <mergeCell ref="D8:I8"/>
    <mergeCell ref="T16:AB16"/>
    <mergeCell ref="X22:AB22"/>
    <mergeCell ref="R30:V30"/>
    <mergeCell ref="X24:AB24"/>
    <mergeCell ref="A7:A67"/>
    <mergeCell ref="Y42:AB42"/>
    <mergeCell ref="Y43:AB43"/>
    <mergeCell ref="Y45:AB45"/>
    <mergeCell ref="Y46:AB46"/>
    <mergeCell ref="J8:N8"/>
    <mergeCell ref="U8:AB8"/>
    <mergeCell ref="J6:N6"/>
    <mergeCell ref="T14:AB14"/>
    <mergeCell ref="H12:N12"/>
    <mergeCell ref="D1:AB1"/>
    <mergeCell ref="U10:AB10"/>
    <mergeCell ref="U6:AB6"/>
    <mergeCell ref="D6:I6"/>
    <mergeCell ref="H10:N10"/>
  </mergeCells>
  <conditionalFormatting sqref="X20:AB53 J39:N51">
    <cfRule type="cellIs" priority="1" dxfId="3" operator="equal" stopIfTrue="1">
      <formula>0</formula>
    </cfRule>
  </conditionalFormatting>
  <printOptions horizontalCentered="1"/>
  <pageMargins left="0.44" right="0.41" top="0.63" bottom="0.5" header="0.31" footer="0.23"/>
  <pageSetup horizontalDpi="180" verticalDpi="180" orientation="portrait" paperSize="9" r:id="rId2"/>
  <headerFooter alignWithMargins="0">
    <oddHeader xml:space="preserve">&amp;L                                    &amp;R                                  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Y41"/>
  <sheetViews>
    <sheetView zoomScaleSheetLayoutView="75" zoomScalePageLayoutView="75" workbookViewId="0" topLeftCell="A13">
      <selection activeCell="A1" sqref="A1:X25"/>
    </sheetView>
  </sheetViews>
  <sheetFormatPr defaultColWidth="9.140625" defaultRowHeight="12.75"/>
  <cols>
    <col min="1" max="1" width="9.140625" style="19" customWidth="1"/>
    <col min="2" max="2" width="4.140625" style="1" customWidth="1"/>
    <col min="3" max="3" width="35.8515625" style="22" customWidth="1"/>
    <col min="4" max="4" width="7.57421875" style="0" customWidth="1"/>
    <col min="5" max="6" width="4.421875" style="0" customWidth="1"/>
    <col min="7" max="8" width="7.57421875" style="0" customWidth="1"/>
    <col min="9" max="11" width="4.421875" style="0" customWidth="1"/>
    <col min="12" max="12" width="7.57421875" style="0" customWidth="1"/>
    <col min="13" max="20" width="5.140625" style="0" customWidth="1"/>
    <col min="21" max="24" width="7.57421875" style="0" customWidth="1"/>
    <col min="25" max="25" width="11.28125" style="0" bestFit="1" customWidth="1"/>
  </cols>
  <sheetData>
    <row r="1" spans="1:24" ht="17.25" customHeight="1">
      <c r="A1" s="466" t="str">
        <f ca="1">CONCATENATE("SUPPLEMENTARY PAY BILL FOR EDUCATIN FEE REIMBURSMENT OF STAFF OF ",DATA!E9,", ",DATA!E10," DURING ",UPPER(TEXT(MONTH(TODAY()),"MMMM")))</f>
        <v>SUPPLEMENTARY PAY BILL FOR EDUCATIN FEE REIMBURSMENT OF STAFF OF Z. P. H. SCHOOL, MANGINAPUDI DURING JANUARY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</row>
    <row r="2" spans="1:24" ht="3.75" customHeight="1">
      <c r="A2" s="218" t="e">
        <f>VLOOKUP(MONTH(#REF!),#REF!,2,FALSE)</f>
        <v>#REF!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</row>
    <row r="3" spans="1:24" s="310" customFormat="1" ht="105" customHeight="1">
      <c r="A3" s="308" t="s">
        <v>177</v>
      </c>
      <c r="B3" s="308" t="s">
        <v>0</v>
      </c>
      <c r="C3" s="309" t="s">
        <v>2</v>
      </c>
      <c r="D3" s="308" t="s">
        <v>409</v>
      </c>
      <c r="E3" s="308" t="s">
        <v>3</v>
      </c>
      <c r="F3" s="308" t="s">
        <v>4</v>
      </c>
      <c r="G3" s="308" t="s">
        <v>314</v>
      </c>
      <c r="H3" s="308" t="s">
        <v>5</v>
      </c>
      <c r="I3" s="308" t="s">
        <v>6</v>
      </c>
      <c r="J3" s="308" t="s">
        <v>7</v>
      </c>
      <c r="K3" s="308" t="s">
        <v>294</v>
      </c>
      <c r="L3" s="308" t="s">
        <v>8</v>
      </c>
      <c r="M3" s="308" t="s">
        <v>9</v>
      </c>
      <c r="N3" s="308" t="s">
        <v>10</v>
      </c>
      <c r="O3" s="308" t="s">
        <v>11</v>
      </c>
      <c r="P3" s="308" t="s">
        <v>12</v>
      </c>
      <c r="Q3" s="308" t="s">
        <v>13</v>
      </c>
      <c r="R3" s="308" t="s">
        <v>14</v>
      </c>
      <c r="S3" s="308" t="s">
        <v>17</v>
      </c>
      <c r="T3" s="308" t="s">
        <v>18</v>
      </c>
      <c r="U3" s="308" t="s">
        <v>19</v>
      </c>
      <c r="V3" s="308" t="s">
        <v>20</v>
      </c>
      <c r="W3" s="308" t="s">
        <v>21</v>
      </c>
      <c r="X3" s="308" t="s">
        <v>22</v>
      </c>
    </row>
    <row r="4" spans="1:24" s="224" customFormat="1" ht="12">
      <c r="A4" s="223"/>
      <c r="B4" s="223">
        <v>1</v>
      </c>
      <c r="C4" s="223">
        <v>2</v>
      </c>
      <c r="D4" s="223">
        <v>3</v>
      </c>
      <c r="E4" s="223">
        <v>4</v>
      </c>
      <c r="F4" s="223">
        <v>5</v>
      </c>
      <c r="G4" s="223">
        <v>6</v>
      </c>
      <c r="H4" s="223">
        <v>7</v>
      </c>
      <c r="I4" s="223">
        <v>8</v>
      </c>
      <c r="J4" s="223">
        <v>9</v>
      </c>
      <c r="K4" s="223">
        <v>10</v>
      </c>
      <c r="L4" s="223">
        <v>12</v>
      </c>
      <c r="M4" s="223">
        <v>13</v>
      </c>
      <c r="N4" s="223">
        <v>14</v>
      </c>
      <c r="O4" s="223">
        <v>15</v>
      </c>
      <c r="P4" s="223">
        <v>16</v>
      </c>
      <c r="Q4" s="223">
        <v>17</v>
      </c>
      <c r="R4" s="223">
        <v>18</v>
      </c>
      <c r="S4" s="223">
        <v>28</v>
      </c>
      <c r="T4" s="223">
        <v>29</v>
      </c>
      <c r="U4" s="223">
        <v>33</v>
      </c>
      <c r="V4" s="223">
        <v>34</v>
      </c>
      <c r="W4" s="223">
        <v>35</v>
      </c>
      <c r="X4" s="223">
        <v>36</v>
      </c>
    </row>
    <row r="5" spans="1:24" s="66" customFormat="1" ht="29.25" customHeight="1">
      <c r="A5" s="225" t="str">
        <f>DATA!F164</f>
        <v>0725419</v>
      </c>
      <c r="B5" s="227">
        <v>1</v>
      </c>
      <c r="C5" s="274" t="str">
        <f>IF(HLOOKUP(B5,DATA!$E$5:$P$25,2,FALSE)="",0,CONCATENATE(DATA!B164,", ",DATA!C164))</f>
        <v>G.SRINIVASULU, S.A(P.S)</v>
      </c>
      <c r="D5" s="227">
        <f>IF(ISBLANK(DATA!E6)=TRUE,0,IF(ISBLANK(DATA!E17)=TRUE,1000,2000))</f>
        <v>2000</v>
      </c>
      <c r="E5" s="227"/>
      <c r="F5" s="227"/>
      <c r="G5" s="228"/>
      <c r="H5" s="227"/>
      <c r="I5" s="227"/>
      <c r="J5" s="227"/>
      <c r="K5" s="227"/>
      <c r="L5" s="227">
        <f aca="true" t="shared" si="0" ref="L5:L16">SUM(D5:K5)</f>
        <v>2000</v>
      </c>
      <c r="M5" s="227"/>
      <c r="N5" s="227"/>
      <c r="O5" s="227"/>
      <c r="P5" s="227"/>
      <c r="Q5" s="227"/>
      <c r="R5" s="227"/>
      <c r="S5" s="227"/>
      <c r="T5" s="227"/>
      <c r="U5" s="227">
        <f aca="true" t="shared" si="1" ref="U5:U16">SUM(M5:T5)</f>
        <v>0</v>
      </c>
      <c r="V5" s="227">
        <f aca="true" t="shared" si="2" ref="V5:V16">L5-U5</f>
        <v>2000</v>
      </c>
      <c r="W5" s="227">
        <v>0</v>
      </c>
      <c r="X5" s="227">
        <f aca="true" t="shared" si="3" ref="X5:X16">V5-W5</f>
        <v>2000</v>
      </c>
    </row>
    <row r="6" spans="1:24" s="66" customFormat="1" ht="29.25" customHeight="1">
      <c r="A6" s="225" t="str">
        <f>DATA!F165</f>
        <v>0718363</v>
      </c>
      <c r="B6" s="227">
        <v>2</v>
      </c>
      <c r="C6" s="274" t="str">
        <f>IF(HLOOKUP(B6,DATA!$E$5:$P$25,2,FALSE)="",0,CONCATENATE(DATA!B165,", ",DATA!C165))</f>
        <v>T.SRINIVASA RAO, S.A(P.S)</v>
      </c>
      <c r="D6" s="227">
        <f>IF(ISBLANK(DATA!F6)=TRUE,0,IF(ISBLANK(DATA!F17)=TRUE,1000,2000))</f>
        <v>2000</v>
      </c>
      <c r="E6" s="227"/>
      <c r="F6" s="227"/>
      <c r="G6" s="228"/>
      <c r="H6" s="227"/>
      <c r="I6" s="227"/>
      <c r="J6" s="227"/>
      <c r="K6" s="227"/>
      <c r="L6" s="227">
        <f t="shared" si="0"/>
        <v>2000</v>
      </c>
      <c r="M6" s="227"/>
      <c r="N6" s="227"/>
      <c r="O6" s="227"/>
      <c r="P6" s="227"/>
      <c r="Q6" s="227"/>
      <c r="R6" s="227"/>
      <c r="S6" s="227"/>
      <c r="T6" s="227"/>
      <c r="U6" s="227">
        <f t="shared" si="1"/>
        <v>0</v>
      </c>
      <c r="V6" s="227">
        <f t="shared" si="2"/>
        <v>2000</v>
      </c>
      <c r="W6" s="227">
        <v>0</v>
      </c>
      <c r="X6" s="227">
        <f>V6-W6</f>
        <v>2000</v>
      </c>
    </row>
    <row r="7" spans="1:24" s="66" customFormat="1" ht="29.25" customHeight="1">
      <c r="A7" s="225">
        <f>DATA!F166</f>
        <v>0</v>
      </c>
      <c r="B7" s="227">
        <v>3</v>
      </c>
      <c r="C7" s="274">
        <f>IF(HLOOKUP(B7,DATA!$E$5:$P$25,2,FALSE)="",0,CONCATENATE(DATA!B166,", ",DATA!C166))</f>
        <v>0</v>
      </c>
      <c r="D7" s="227">
        <f>IF(ISBLANK(DATA!G6)=TRUE,0,IF(ISBLANK(DATA!G17)=TRUE,1000,2000))</f>
        <v>0</v>
      </c>
      <c r="E7" s="227"/>
      <c r="F7" s="227"/>
      <c r="G7" s="228"/>
      <c r="H7" s="227"/>
      <c r="I7" s="227"/>
      <c r="J7" s="227"/>
      <c r="K7" s="227"/>
      <c r="L7" s="227">
        <f t="shared" si="0"/>
        <v>0</v>
      </c>
      <c r="M7" s="227"/>
      <c r="N7" s="227"/>
      <c r="O7" s="227"/>
      <c r="P7" s="227"/>
      <c r="Q7" s="227"/>
      <c r="R7" s="227"/>
      <c r="S7" s="227"/>
      <c r="T7" s="227"/>
      <c r="U7" s="227">
        <f t="shared" si="1"/>
        <v>0</v>
      </c>
      <c r="V7" s="227">
        <f t="shared" si="2"/>
        <v>0</v>
      </c>
      <c r="W7" s="227">
        <v>0</v>
      </c>
      <c r="X7" s="227">
        <f t="shared" si="3"/>
        <v>0</v>
      </c>
    </row>
    <row r="8" spans="1:24" s="66" customFormat="1" ht="29.25" customHeight="1">
      <c r="A8" s="225">
        <f>DATA!F167</f>
        <v>0</v>
      </c>
      <c r="B8" s="227">
        <f>IF(VALUE(A8)="","",4)</f>
        <v>4</v>
      </c>
      <c r="C8" s="274">
        <f>IF(HLOOKUP(B8,DATA!$E$5:$P$25,2,FALSE)="",0,CONCATENATE(DATA!B167,", ",DATA!C167))</f>
        <v>0</v>
      </c>
      <c r="D8" s="227">
        <f>IF(ISBLANK(DATA!H6)=TRUE,0,IF(ISBLANK(DATA!H17)=TRUE,1000,2000))</f>
        <v>0</v>
      </c>
      <c r="E8" s="227"/>
      <c r="F8" s="227"/>
      <c r="G8" s="228"/>
      <c r="H8" s="227"/>
      <c r="I8" s="227"/>
      <c r="J8" s="227"/>
      <c r="K8" s="227"/>
      <c r="L8" s="227">
        <f t="shared" si="0"/>
        <v>0</v>
      </c>
      <c r="M8" s="227"/>
      <c r="N8" s="227"/>
      <c r="O8" s="227"/>
      <c r="P8" s="227"/>
      <c r="Q8" s="227"/>
      <c r="R8" s="227"/>
      <c r="S8" s="227"/>
      <c r="T8" s="227"/>
      <c r="U8" s="227">
        <f t="shared" si="1"/>
        <v>0</v>
      </c>
      <c r="V8" s="227">
        <f t="shared" si="2"/>
        <v>0</v>
      </c>
      <c r="W8" s="227">
        <v>0</v>
      </c>
      <c r="X8" s="227">
        <f t="shared" si="3"/>
        <v>0</v>
      </c>
    </row>
    <row r="9" spans="1:24" s="66" customFormat="1" ht="29.25" customHeight="1">
      <c r="A9" s="225">
        <f>DATA!F168</f>
        <v>0</v>
      </c>
      <c r="B9" s="227">
        <v>5</v>
      </c>
      <c r="C9" s="274">
        <f>IF(HLOOKUP(B9,DATA!$E$5:$P$25,2,FALSE)="",0,CONCATENATE(DATA!B168,", ",DATA!C168))</f>
        <v>0</v>
      </c>
      <c r="D9" s="227">
        <f>IF(ISBLANK(DATA!I6)=TRUE,0,IF(ISBLANK(DATA!I17)=TRUE,1000,2000))</f>
        <v>0</v>
      </c>
      <c r="E9" s="227"/>
      <c r="F9" s="227"/>
      <c r="G9" s="228"/>
      <c r="H9" s="227"/>
      <c r="I9" s="227"/>
      <c r="J9" s="227"/>
      <c r="K9" s="227"/>
      <c r="L9" s="227">
        <f t="shared" si="0"/>
        <v>0</v>
      </c>
      <c r="M9" s="227"/>
      <c r="N9" s="227"/>
      <c r="O9" s="227"/>
      <c r="P9" s="227"/>
      <c r="Q9" s="227"/>
      <c r="R9" s="227"/>
      <c r="S9" s="227"/>
      <c r="T9" s="227"/>
      <c r="U9" s="227">
        <f t="shared" si="1"/>
        <v>0</v>
      </c>
      <c r="V9" s="227">
        <f t="shared" si="2"/>
        <v>0</v>
      </c>
      <c r="W9" s="227">
        <v>0</v>
      </c>
      <c r="X9" s="227">
        <f t="shared" si="3"/>
        <v>0</v>
      </c>
    </row>
    <row r="10" spans="1:24" s="66" customFormat="1" ht="29.25" customHeight="1">
      <c r="A10" s="225">
        <f>DATA!F169</f>
        <v>0</v>
      </c>
      <c r="B10" s="227">
        <v>6</v>
      </c>
      <c r="C10" s="274">
        <f>IF(HLOOKUP(B10,DATA!$E$5:$P$25,2,FALSE)="",0,CONCATENATE(DATA!B169,", ",DATA!C169))</f>
        <v>0</v>
      </c>
      <c r="D10" s="227">
        <f>IF(ISBLANK(DATA!J6)=TRUE,0,IF(ISBLANK(DATA!J17)=TRUE,1000,2000))</f>
        <v>0</v>
      </c>
      <c r="E10" s="227"/>
      <c r="F10" s="227"/>
      <c r="G10" s="228"/>
      <c r="H10" s="227"/>
      <c r="I10" s="227"/>
      <c r="J10" s="227"/>
      <c r="K10" s="227"/>
      <c r="L10" s="227">
        <f t="shared" si="0"/>
        <v>0</v>
      </c>
      <c r="M10" s="227"/>
      <c r="N10" s="227"/>
      <c r="O10" s="227"/>
      <c r="P10" s="227"/>
      <c r="Q10" s="227"/>
      <c r="R10" s="227"/>
      <c r="S10" s="227"/>
      <c r="T10" s="227"/>
      <c r="U10" s="227">
        <f t="shared" si="1"/>
        <v>0</v>
      </c>
      <c r="V10" s="227">
        <f t="shared" si="2"/>
        <v>0</v>
      </c>
      <c r="W10" s="227">
        <v>0</v>
      </c>
      <c r="X10" s="227">
        <f t="shared" si="3"/>
        <v>0</v>
      </c>
    </row>
    <row r="11" spans="1:24" s="66" customFormat="1" ht="29.25" customHeight="1">
      <c r="A11" s="225">
        <f>DATA!F170</f>
        <v>0</v>
      </c>
      <c r="B11" s="227">
        <v>7</v>
      </c>
      <c r="C11" s="274">
        <f>IF(HLOOKUP(B11,DATA!$E$5:$P$25,2,FALSE)="",0,CONCATENATE(DATA!B170,", ",DATA!C170))</f>
        <v>0</v>
      </c>
      <c r="D11" s="227">
        <f>IF(ISBLANK(DATA!K6)=TRUE,0,IF(ISBLANK(DATA!K17)=TRUE,1000,2000))</f>
        <v>0</v>
      </c>
      <c r="E11" s="227"/>
      <c r="F11" s="227"/>
      <c r="G11" s="228"/>
      <c r="H11" s="227"/>
      <c r="I11" s="227"/>
      <c r="J11" s="227"/>
      <c r="K11" s="227"/>
      <c r="L11" s="227">
        <f t="shared" si="0"/>
        <v>0</v>
      </c>
      <c r="M11" s="227"/>
      <c r="N11" s="227"/>
      <c r="O11" s="227"/>
      <c r="P11" s="227"/>
      <c r="Q11" s="227"/>
      <c r="R11" s="227"/>
      <c r="S11" s="227"/>
      <c r="T11" s="227"/>
      <c r="U11" s="227">
        <f t="shared" si="1"/>
        <v>0</v>
      </c>
      <c r="V11" s="227">
        <f t="shared" si="2"/>
        <v>0</v>
      </c>
      <c r="W11" s="227">
        <v>0</v>
      </c>
      <c r="X11" s="227">
        <f t="shared" si="3"/>
        <v>0</v>
      </c>
    </row>
    <row r="12" spans="1:24" s="66" customFormat="1" ht="29.25" customHeight="1">
      <c r="A12" s="225">
        <f>DATA!F171</f>
        <v>0</v>
      </c>
      <c r="B12" s="226">
        <v>8</v>
      </c>
      <c r="C12" s="274">
        <f>IF(HLOOKUP(B12,DATA!$E$5:$P$25,2,FALSE)="",0,CONCATENATE(DATA!B171,", ",DATA!C171))</f>
        <v>0</v>
      </c>
      <c r="D12" s="227">
        <f>IF(ISBLANK(DATA!L6)=TRUE,0,IF(ISBLANK(DATA!L17)=TRUE,1000,2000))</f>
        <v>0</v>
      </c>
      <c r="E12" s="227"/>
      <c r="F12" s="227"/>
      <c r="G12" s="228"/>
      <c r="H12" s="227"/>
      <c r="I12" s="227"/>
      <c r="J12" s="227"/>
      <c r="K12" s="227"/>
      <c r="L12" s="227">
        <f t="shared" si="0"/>
        <v>0</v>
      </c>
      <c r="M12" s="227"/>
      <c r="N12" s="227"/>
      <c r="O12" s="227"/>
      <c r="P12" s="227"/>
      <c r="Q12" s="227"/>
      <c r="R12" s="227"/>
      <c r="S12" s="227"/>
      <c r="T12" s="227"/>
      <c r="U12" s="227">
        <f t="shared" si="1"/>
        <v>0</v>
      </c>
      <c r="V12" s="227">
        <f t="shared" si="2"/>
        <v>0</v>
      </c>
      <c r="W12" s="227">
        <v>0</v>
      </c>
      <c r="X12" s="227">
        <f t="shared" si="3"/>
        <v>0</v>
      </c>
    </row>
    <row r="13" spans="1:24" s="66" customFormat="1" ht="29.25" customHeight="1">
      <c r="A13" s="225">
        <f>DATA!F172</f>
        <v>0</v>
      </c>
      <c r="B13" s="226">
        <v>9</v>
      </c>
      <c r="C13" s="274">
        <f>IF(HLOOKUP(B13,DATA!$E$5:$P$25,2,FALSE)="",0,CONCATENATE(DATA!B172,", ",DATA!C172))</f>
        <v>0</v>
      </c>
      <c r="D13" s="227">
        <f>IF(ISBLANK(DATA!M6)=TRUE,0,IF(ISBLANK(DATA!M17)=TRUE,1000,2000))</f>
        <v>0</v>
      </c>
      <c r="E13" s="227"/>
      <c r="F13" s="227"/>
      <c r="G13" s="228"/>
      <c r="H13" s="227"/>
      <c r="I13" s="227"/>
      <c r="J13" s="227"/>
      <c r="K13" s="227"/>
      <c r="L13" s="227">
        <f t="shared" si="0"/>
        <v>0</v>
      </c>
      <c r="M13" s="227"/>
      <c r="N13" s="227"/>
      <c r="O13" s="227"/>
      <c r="P13" s="227"/>
      <c r="Q13" s="227"/>
      <c r="R13" s="227"/>
      <c r="S13" s="227"/>
      <c r="T13" s="227"/>
      <c r="U13" s="227">
        <f t="shared" si="1"/>
        <v>0</v>
      </c>
      <c r="V13" s="227">
        <f t="shared" si="2"/>
        <v>0</v>
      </c>
      <c r="W13" s="227">
        <v>0</v>
      </c>
      <c r="X13" s="227">
        <f t="shared" si="3"/>
        <v>0</v>
      </c>
    </row>
    <row r="14" spans="1:24" s="66" customFormat="1" ht="29.25" customHeight="1">
      <c r="A14" s="225">
        <f>DATA!F173</f>
        <v>0</v>
      </c>
      <c r="B14" s="226">
        <v>10</v>
      </c>
      <c r="C14" s="274">
        <f>IF(HLOOKUP(B14,DATA!$E$5:$P$25,2,FALSE)="",0,CONCATENATE(DATA!B173,", ",DATA!C173))</f>
        <v>0</v>
      </c>
      <c r="D14" s="227">
        <f>IF(ISBLANK(DATA!N6)=TRUE,0,IF(ISBLANK(DATA!N17)=TRUE,1000,2000))</f>
        <v>0</v>
      </c>
      <c r="E14" s="227"/>
      <c r="F14" s="227"/>
      <c r="G14" s="228"/>
      <c r="H14" s="227"/>
      <c r="I14" s="227"/>
      <c r="J14" s="227"/>
      <c r="K14" s="227"/>
      <c r="L14" s="227">
        <f t="shared" si="0"/>
        <v>0</v>
      </c>
      <c r="M14" s="227"/>
      <c r="N14" s="227"/>
      <c r="O14" s="227"/>
      <c r="P14" s="227"/>
      <c r="Q14" s="227"/>
      <c r="R14" s="227"/>
      <c r="S14" s="227"/>
      <c r="T14" s="227"/>
      <c r="U14" s="227">
        <f t="shared" si="1"/>
        <v>0</v>
      </c>
      <c r="V14" s="227">
        <f t="shared" si="2"/>
        <v>0</v>
      </c>
      <c r="W14" s="227">
        <v>0</v>
      </c>
      <c r="X14" s="227">
        <f t="shared" si="3"/>
        <v>0</v>
      </c>
    </row>
    <row r="15" spans="1:24" s="66" customFormat="1" ht="29.25" customHeight="1">
      <c r="A15" s="225">
        <f>DATA!F174</f>
        <v>0</v>
      </c>
      <c r="B15" s="226">
        <v>11</v>
      </c>
      <c r="C15" s="274">
        <f>IF(HLOOKUP(B15,DATA!$E$5:$P$25,2,FALSE)="",0,CONCATENATE(DATA!B174,", ",DATA!C174))</f>
        <v>0</v>
      </c>
      <c r="D15" s="227">
        <f>IF(ISBLANK(DATA!O6)=TRUE,0,IF(ISBLANK(DATA!O17)=TRUE,1000,2000))</f>
        <v>0</v>
      </c>
      <c r="E15" s="227"/>
      <c r="F15" s="227"/>
      <c r="G15" s="228"/>
      <c r="H15" s="227"/>
      <c r="I15" s="227"/>
      <c r="J15" s="227"/>
      <c r="K15" s="227"/>
      <c r="L15" s="227">
        <f t="shared" si="0"/>
        <v>0</v>
      </c>
      <c r="M15" s="227"/>
      <c r="N15" s="227"/>
      <c r="O15" s="227"/>
      <c r="P15" s="227"/>
      <c r="Q15" s="227"/>
      <c r="R15" s="227"/>
      <c r="S15" s="227"/>
      <c r="T15" s="227"/>
      <c r="U15" s="227">
        <f t="shared" si="1"/>
        <v>0</v>
      </c>
      <c r="V15" s="227">
        <f t="shared" si="2"/>
        <v>0</v>
      </c>
      <c r="W15" s="227">
        <v>0</v>
      </c>
      <c r="X15" s="227">
        <f t="shared" si="3"/>
        <v>0</v>
      </c>
    </row>
    <row r="16" spans="1:24" ht="29.25" customHeight="1">
      <c r="A16" s="225">
        <f>DATA!F175</f>
        <v>0</v>
      </c>
      <c r="B16" s="219">
        <v>12</v>
      </c>
      <c r="C16" s="274">
        <f>IF(HLOOKUP(B16,DATA!$E$5:$P$25,2,FALSE)="",0,CONCATENATE(DATA!B175,", ",DATA!C175))</f>
        <v>0</v>
      </c>
      <c r="D16" s="227">
        <f>IF(ISBLANK(DATA!P6)=TRUE,0,IF(ISBLANK(DATA!P17)=TRUE,1000,2000))</f>
        <v>0</v>
      </c>
      <c r="E16" s="217"/>
      <c r="F16" s="217"/>
      <c r="G16" s="220"/>
      <c r="H16" s="217"/>
      <c r="I16" s="217"/>
      <c r="J16" s="217"/>
      <c r="K16" s="217"/>
      <c r="L16" s="227">
        <f t="shared" si="0"/>
        <v>0</v>
      </c>
      <c r="M16" s="113"/>
      <c r="N16" s="113"/>
      <c r="O16" s="113"/>
      <c r="P16" s="113"/>
      <c r="Q16" s="113"/>
      <c r="R16" s="113"/>
      <c r="S16" s="113"/>
      <c r="T16" s="113"/>
      <c r="U16" s="227">
        <f t="shared" si="1"/>
        <v>0</v>
      </c>
      <c r="V16" s="227">
        <f t="shared" si="2"/>
        <v>0</v>
      </c>
      <c r="W16" s="113">
        <v>0</v>
      </c>
      <c r="X16" s="227">
        <f t="shared" si="3"/>
        <v>0</v>
      </c>
    </row>
    <row r="17" spans="1:25" s="230" customFormat="1" ht="18.75" customHeight="1">
      <c r="A17" s="221"/>
      <c r="B17" s="221"/>
      <c r="C17" s="221" t="s">
        <v>23</v>
      </c>
      <c r="D17" s="221">
        <f>SUM(D5:D16)</f>
        <v>4000</v>
      </c>
      <c r="E17" s="221">
        <f aca="true" t="shared" si="4" ref="E17:X17">SUM(E5:E16)</f>
        <v>0</v>
      </c>
      <c r="F17" s="221">
        <f t="shared" si="4"/>
        <v>0</v>
      </c>
      <c r="G17" s="221">
        <f t="shared" si="4"/>
        <v>0</v>
      </c>
      <c r="H17" s="221">
        <f t="shared" si="4"/>
        <v>0</v>
      </c>
      <c r="I17" s="221">
        <f t="shared" si="4"/>
        <v>0</v>
      </c>
      <c r="J17" s="221">
        <f t="shared" si="4"/>
        <v>0</v>
      </c>
      <c r="K17" s="221">
        <f t="shared" si="4"/>
        <v>0</v>
      </c>
      <c r="L17" s="221">
        <f t="shared" si="4"/>
        <v>4000</v>
      </c>
      <c r="M17" s="221">
        <f t="shared" si="4"/>
        <v>0</v>
      </c>
      <c r="N17" s="221">
        <f t="shared" si="4"/>
        <v>0</v>
      </c>
      <c r="O17" s="221">
        <f t="shared" si="4"/>
        <v>0</v>
      </c>
      <c r="P17" s="221">
        <f t="shared" si="4"/>
        <v>0</v>
      </c>
      <c r="Q17" s="221">
        <f t="shared" si="4"/>
        <v>0</v>
      </c>
      <c r="R17" s="221">
        <f t="shared" si="4"/>
        <v>0</v>
      </c>
      <c r="S17" s="221">
        <f t="shared" si="4"/>
        <v>0</v>
      </c>
      <c r="T17" s="221">
        <f t="shared" si="4"/>
        <v>0</v>
      </c>
      <c r="U17" s="221">
        <f t="shared" si="4"/>
        <v>0</v>
      </c>
      <c r="V17" s="221">
        <f t="shared" si="4"/>
        <v>4000</v>
      </c>
      <c r="W17" s="221">
        <v>0</v>
      </c>
      <c r="X17" s="221">
        <f t="shared" si="4"/>
        <v>4000</v>
      </c>
      <c r="Y17" s="229"/>
    </row>
    <row r="18" spans="1:24" ht="12.75">
      <c r="A18" s="92"/>
      <c r="B18" s="91"/>
      <c r="C18" s="93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94"/>
      <c r="P18" s="77"/>
      <c r="Q18" s="77"/>
      <c r="R18" s="77"/>
      <c r="S18" s="77"/>
      <c r="T18" s="77"/>
      <c r="U18" s="77"/>
      <c r="V18" s="77"/>
      <c r="W18" s="77"/>
      <c r="X18" s="77"/>
    </row>
    <row r="19" spans="2:24" ht="15" customHeight="1">
      <c r="B19" s="231" t="str">
        <f>CONCATENATE("AG NET in words : ",DATA!C189)</f>
        <v>AG NET in words :  FOUR  THOUSAND ONLY.</v>
      </c>
      <c r="C19" s="231"/>
      <c r="E19" s="231"/>
      <c r="F19" s="231"/>
      <c r="G19" s="231"/>
      <c r="H19" s="231"/>
      <c r="I19" s="231"/>
      <c r="J19" s="231"/>
      <c r="K19" s="231"/>
      <c r="L19" s="231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</row>
    <row r="20" spans="1:24" ht="12.75">
      <c r="A20" s="469" t="s">
        <v>170</v>
      </c>
      <c r="B20" s="469"/>
      <c r="C20" s="469"/>
      <c r="D20" s="9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</row>
    <row r="21" spans="1:24" ht="12.75">
      <c r="A21" s="234"/>
      <c r="B21" s="270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77"/>
      <c r="N21" s="77"/>
      <c r="O21" s="77"/>
      <c r="P21" s="77"/>
      <c r="Q21" s="77"/>
      <c r="R21" s="77"/>
      <c r="S21" s="467"/>
      <c r="T21" s="467"/>
      <c r="U21" s="77"/>
      <c r="V21" s="77"/>
      <c r="W21" s="77"/>
      <c r="X21" s="77"/>
    </row>
    <row r="22" spans="1:24" ht="12.75" customHeight="1">
      <c r="A22" s="294">
        <v>1</v>
      </c>
      <c r="B22" s="300" t="str">
        <f>UPPER('47-back'!C28)</f>
        <v>CERTIFIED THAT THE AMOUNT CLAIMED IN THIS BILL HAS NOT BEEN ALREADY DRAWN AND PAID PREVIOUSLY.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77"/>
      <c r="Q22" s="77"/>
      <c r="R22" s="77"/>
      <c r="S22" s="77"/>
      <c r="U22" s="77"/>
      <c r="V22" s="77"/>
      <c r="W22" s="77"/>
      <c r="X22" s="77"/>
    </row>
    <row r="23" spans="1:24" ht="12.75">
      <c r="A23" s="294">
        <v>2</v>
      </c>
      <c r="B23" s="465" t="str">
        <f>"CERTIFIED THAT THE NUMBER OF EMPLOYEES IN THE BILL IS "&amp;DATA!C180</f>
        <v>CERTIFIED THAT THE NUMBER OF EMPLOYEES IN THE BILL IS  THREE </v>
      </c>
      <c r="C23" s="465"/>
      <c r="D23" s="465"/>
      <c r="E23" s="465"/>
      <c r="F23" s="465"/>
      <c r="G23" s="465"/>
      <c r="H23" s="295"/>
      <c r="I23" s="295"/>
      <c r="J23" s="295"/>
      <c r="K23" s="295"/>
      <c r="L23" s="295"/>
      <c r="M23" s="296"/>
      <c r="N23" s="82"/>
      <c r="O23" s="82"/>
      <c r="P23" s="77"/>
      <c r="Q23" s="77"/>
      <c r="R23" s="77"/>
      <c r="S23" s="77"/>
      <c r="T23" s="468" t="s">
        <v>24</v>
      </c>
      <c r="U23" s="468"/>
      <c r="V23" s="468"/>
      <c r="W23" s="468"/>
      <c r="X23" s="468"/>
    </row>
    <row r="24" spans="1:24" ht="12.75">
      <c r="A24" s="297"/>
      <c r="B24" s="298"/>
      <c r="C24" s="299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</row>
    <row r="25" spans="1:24" ht="12.75">
      <c r="A25" s="297"/>
      <c r="B25" s="298"/>
      <c r="C25" s="299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</row>
    <row r="28" spans="2:12" ht="12.75">
      <c r="B28" s="464"/>
      <c r="C28" s="464"/>
      <c r="D28" s="464"/>
      <c r="E28" s="464"/>
      <c r="F28" s="464"/>
      <c r="G28" s="464"/>
      <c r="H28" s="464"/>
      <c r="I28" s="464"/>
      <c r="J28" s="464"/>
      <c r="K28" s="464"/>
      <c r="L28" s="464"/>
    </row>
    <row r="29" spans="2:12" ht="12.75">
      <c r="B29" s="464"/>
      <c r="C29" s="464"/>
      <c r="D29" s="464"/>
      <c r="E29" s="464"/>
      <c r="F29" s="464"/>
      <c r="G29" s="464"/>
      <c r="H29" s="464"/>
      <c r="I29" s="464"/>
      <c r="J29" s="464"/>
      <c r="K29" s="464"/>
      <c r="L29" s="464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6">
    <mergeCell ref="B28:L29"/>
    <mergeCell ref="B23:G23"/>
    <mergeCell ref="A1:X1"/>
    <mergeCell ref="S21:T21"/>
    <mergeCell ref="T23:X23"/>
    <mergeCell ref="A20:C20"/>
  </mergeCells>
  <conditionalFormatting sqref="D5:X17">
    <cfRule type="cellIs" priority="2" dxfId="3" operator="equal" stopIfTrue="1">
      <formula>0</formula>
    </cfRule>
  </conditionalFormatting>
  <conditionalFormatting sqref="A5:X16">
    <cfRule type="cellIs" priority="1" dxfId="0" operator="equal" stopIfTrue="1">
      <formula>0</formula>
    </cfRule>
  </conditionalFormatting>
  <printOptions verticalCentered="1"/>
  <pageMargins left="0.66" right="0.58" top="0.67" bottom="0.74" header="0.35" footer="0.43"/>
  <pageSetup errors="blank" horizontalDpi="180" verticalDpi="180" orientation="landscape" paperSize="9" scale="78" r:id="rId2"/>
  <headerFooter alignWithMargins="0">
    <oddHeader>&amp;C&amp;16PAY BILL&amp;R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Q498"/>
  <sheetViews>
    <sheetView zoomScalePageLayoutView="0" workbookViewId="0" topLeftCell="B19">
      <selection activeCell="C35" sqref="C35:N35"/>
    </sheetView>
  </sheetViews>
  <sheetFormatPr defaultColWidth="9.140625" defaultRowHeight="12.75"/>
  <cols>
    <col min="1" max="1" width="0.5625" style="0" customWidth="1"/>
    <col min="2" max="2" width="3.7109375" style="0" customWidth="1"/>
    <col min="3" max="3" width="5.140625" style="0" customWidth="1"/>
    <col min="4" max="4" width="2.00390625" style="0" customWidth="1"/>
    <col min="5" max="5" width="9.00390625" style="0" customWidth="1"/>
    <col min="6" max="6" width="3.421875" style="0" customWidth="1"/>
    <col min="7" max="7" width="6.00390625" style="0" customWidth="1"/>
    <col min="8" max="8" width="6.7109375" style="0" customWidth="1"/>
    <col min="9" max="9" width="7.140625" style="0" customWidth="1"/>
    <col min="10" max="10" width="5.57421875" style="0" customWidth="1"/>
    <col min="11" max="11" width="7.140625" style="0" customWidth="1"/>
    <col min="12" max="12" width="5.28125" style="0" customWidth="1"/>
    <col min="13" max="13" width="11.140625" style="0" customWidth="1"/>
    <col min="14" max="14" width="20.7109375" style="0" customWidth="1"/>
    <col min="15" max="15" width="0.5625" style="2" customWidth="1"/>
  </cols>
  <sheetData>
    <row r="1" spans="1:15" ht="3" customHeight="1">
      <c r="A1" s="188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60"/>
    </row>
    <row r="2" spans="1:15" ht="21" customHeight="1">
      <c r="A2" s="145"/>
      <c r="B2" s="473" t="s">
        <v>101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5"/>
      <c r="O2" s="190"/>
    </row>
    <row r="3" spans="1:15" ht="7.5" customHeight="1">
      <c r="A3" s="145"/>
      <c r="B3" s="170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1"/>
      <c r="O3" s="12"/>
    </row>
    <row r="4" spans="1:15" ht="13.5" customHeight="1">
      <c r="A4" s="145"/>
      <c r="B4" s="172" t="str">
        <f>CONCATENATE("1. Budget allocation for the year ",YEAR(DATA!E35)&amp;"-"&amp;MID(YEAR(DATA!E35),3,2)+1)</f>
        <v>1. Budget allocation for the year 2014-15</v>
      </c>
      <c r="C4" s="49"/>
      <c r="D4" s="49"/>
      <c r="E4" s="49"/>
      <c r="F4" s="49"/>
      <c r="G4" s="49"/>
      <c r="H4" s="49"/>
      <c r="I4" s="49"/>
      <c r="J4" s="2"/>
      <c r="K4" s="49" t="s">
        <v>312</v>
      </c>
      <c r="L4" s="49"/>
      <c r="M4" s="49"/>
      <c r="N4" s="173"/>
      <c r="O4" s="12"/>
    </row>
    <row r="5" spans="1:17" ht="12.75">
      <c r="A5" s="145"/>
      <c r="B5" s="172" t="str">
        <f>CONCATENATE("2. Total Expenditure including this Bill")</f>
        <v>2. Total Expenditure including this Bill</v>
      </c>
      <c r="C5" s="49"/>
      <c r="D5" s="49"/>
      <c r="E5" s="49"/>
      <c r="F5" s="49"/>
      <c r="G5" s="49"/>
      <c r="H5" s="49"/>
      <c r="I5" s="49"/>
      <c r="J5" s="2"/>
      <c r="K5" s="49" t="s">
        <v>312</v>
      </c>
      <c r="L5" s="49"/>
      <c r="M5" s="49"/>
      <c r="N5" s="173"/>
      <c r="O5" s="12"/>
      <c r="Q5" s="73"/>
    </row>
    <row r="6" spans="1:17" ht="12.75">
      <c r="A6" s="145"/>
      <c r="B6" s="172" t="str">
        <f>CONCATENATE("3. Balance")</f>
        <v>3. Balance</v>
      </c>
      <c r="C6" s="49"/>
      <c r="D6" s="49"/>
      <c r="E6" s="49"/>
      <c r="F6" s="49"/>
      <c r="G6" s="49"/>
      <c r="H6" s="49"/>
      <c r="I6" s="49"/>
      <c r="J6" s="2"/>
      <c r="K6" s="49" t="s">
        <v>312</v>
      </c>
      <c r="L6" s="484">
        <f>'47-front'!J54</f>
        <v>4000</v>
      </c>
      <c r="M6" s="484"/>
      <c r="N6" s="174"/>
      <c r="O6" s="12"/>
      <c r="Q6" s="73"/>
    </row>
    <row r="7" spans="1:15" ht="12.75">
      <c r="A7" s="145"/>
      <c r="B7" s="175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173"/>
      <c r="O7" s="12"/>
    </row>
    <row r="8" spans="1:15" ht="12.75">
      <c r="A8" s="145"/>
      <c r="B8" s="175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173"/>
      <c r="O8" s="12"/>
    </row>
    <row r="9" spans="1:15" ht="12.75">
      <c r="A9" s="145"/>
      <c r="B9" s="175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173"/>
      <c r="O9" s="12"/>
    </row>
    <row r="10" spans="1:15" ht="12.75">
      <c r="A10" s="145"/>
      <c r="B10" s="17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173"/>
      <c r="O10" s="12"/>
    </row>
    <row r="11" spans="1:15" ht="12.75">
      <c r="A11" s="145"/>
      <c r="B11" s="176"/>
      <c r="C11" s="56"/>
      <c r="D11" s="56"/>
      <c r="E11" s="56"/>
      <c r="F11" s="56"/>
      <c r="G11" s="56"/>
      <c r="H11" s="56"/>
      <c r="I11" s="57"/>
      <c r="J11" s="56"/>
      <c r="K11" s="28"/>
      <c r="L11" s="56"/>
      <c r="M11" s="56"/>
      <c r="N11" s="177" t="s">
        <v>83</v>
      </c>
      <c r="O11" s="12"/>
    </row>
    <row r="12" spans="1:15" ht="3" customHeight="1">
      <c r="A12" s="145"/>
      <c r="B12" s="49"/>
      <c r="C12" s="49"/>
      <c r="D12" s="49"/>
      <c r="E12" s="49"/>
      <c r="F12" s="49"/>
      <c r="G12" s="49"/>
      <c r="H12" s="49"/>
      <c r="I12" s="58"/>
      <c r="J12" s="49"/>
      <c r="K12" s="49"/>
      <c r="L12" s="49"/>
      <c r="M12" s="49"/>
      <c r="N12" s="49"/>
      <c r="O12" s="12"/>
    </row>
    <row r="13" spans="1:15" ht="3" customHeight="1">
      <c r="A13" s="145"/>
      <c r="B13" s="178"/>
      <c r="C13" s="179"/>
      <c r="D13" s="179"/>
      <c r="E13" s="179"/>
      <c r="F13" s="179"/>
      <c r="G13" s="179"/>
      <c r="H13" s="179"/>
      <c r="I13" s="194"/>
      <c r="J13" s="179"/>
      <c r="K13" s="179"/>
      <c r="L13" s="179"/>
      <c r="M13" s="179"/>
      <c r="N13" s="180"/>
      <c r="O13" s="12"/>
    </row>
    <row r="14" spans="1:15" ht="12.75">
      <c r="A14" s="145"/>
      <c r="B14" s="175"/>
      <c r="C14" s="49" t="s">
        <v>78</v>
      </c>
      <c r="D14" s="49"/>
      <c r="E14" s="49"/>
      <c r="F14" s="31"/>
      <c r="G14" s="488">
        <f>L6</f>
        <v>4000</v>
      </c>
      <c r="H14" s="488"/>
      <c r="I14" s="31"/>
      <c r="J14" s="49"/>
      <c r="K14" s="59"/>
      <c r="L14" s="49"/>
      <c r="M14" s="49"/>
      <c r="N14" s="173"/>
      <c r="O14" s="12"/>
    </row>
    <row r="15" spans="1:17" ht="12.75">
      <c r="A15" s="145"/>
      <c r="B15" s="175" t="s">
        <v>310</v>
      </c>
      <c r="D15" s="195"/>
      <c r="E15" s="486" t="str">
        <f>'47-front'!D56</f>
        <v> FOUR  THOUSAND ONLY.</v>
      </c>
      <c r="F15" s="486"/>
      <c r="G15" s="486"/>
      <c r="H15" s="486"/>
      <c r="I15" s="486"/>
      <c r="J15" s="486"/>
      <c r="K15" s="486"/>
      <c r="L15" s="486"/>
      <c r="M15" s="486"/>
      <c r="N15" s="487"/>
      <c r="O15" s="12"/>
      <c r="Q15" s="96"/>
    </row>
    <row r="16" spans="1:15" ht="12.75">
      <c r="A16" s="145"/>
      <c r="B16" s="175" t="s">
        <v>311</v>
      </c>
      <c r="D16" s="31"/>
      <c r="E16" s="31"/>
      <c r="F16" s="31"/>
      <c r="G16" s="31"/>
      <c r="H16" s="31"/>
      <c r="I16" s="31"/>
      <c r="J16" s="31"/>
      <c r="K16" s="49"/>
      <c r="L16" s="49"/>
      <c r="M16" s="49"/>
      <c r="N16" s="173"/>
      <c r="O16" s="12"/>
    </row>
    <row r="17" spans="1:15" ht="12.75">
      <c r="A17" s="145"/>
      <c r="B17" s="175"/>
      <c r="C17" s="49"/>
      <c r="D17" s="31"/>
      <c r="E17" s="31"/>
      <c r="F17" s="31"/>
      <c r="G17" s="31"/>
      <c r="H17" s="31"/>
      <c r="I17" s="31"/>
      <c r="J17" s="31"/>
      <c r="K17" s="49"/>
      <c r="L17" s="49"/>
      <c r="M17" s="49"/>
      <c r="N17" s="173"/>
      <c r="O17" s="12"/>
    </row>
    <row r="18" spans="1:15" ht="12.75">
      <c r="A18" s="145"/>
      <c r="B18" s="175"/>
      <c r="C18" s="49" t="s">
        <v>79</v>
      </c>
      <c r="D18" s="31"/>
      <c r="E18" s="31"/>
      <c r="F18" s="31"/>
      <c r="G18" s="31"/>
      <c r="H18" s="31"/>
      <c r="I18" s="31"/>
      <c r="J18" s="31"/>
      <c r="K18" s="49"/>
      <c r="L18" s="49"/>
      <c r="M18" s="49"/>
      <c r="N18" s="173"/>
      <c r="O18" s="12"/>
    </row>
    <row r="19" spans="1:15" ht="15" customHeight="1">
      <c r="A19" s="145"/>
      <c r="B19" s="175"/>
      <c r="C19" s="49"/>
      <c r="D19" s="31"/>
      <c r="E19" s="31"/>
      <c r="F19" s="31"/>
      <c r="G19" s="31"/>
      <c r="H19" s="31"/>
      <c r="I19" s="31"/>
      <c r="J19" s="31"/>
      <c r="K19" s="49"/>
      <c r="L19" s="49"/>
      <c r="M19" s="49"/>
      <c r="N19" s="173"/>
      <c r="O19" s="12"/>
    </row>
    <row r="20" spans="1:15" ht="15" customHeight="1">
      <c r="A20" s="145"/>
      <c r="B20" s="175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173"/>
      <c r="O20" s="12"/>
    </row>
    <row r="21" spans="1:15" ht="15" customHeight="1">
      <c r="A21" s="145"/>
      <c r="B21" s="175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73"/>
      <c r="O21" s="12"/>
    </row>
    <row r="22" spans="1:17" ht="15" customHeight="1">
      <c r="A22" s="145"/>
      <c r="B22" s="175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73"/>
      <c r="O22" s="12"/>
      <c r="Q22" s="74"/>
    </row>
    <row r="23" spans="1:15" ht="15" customHeight="1">
      <c r="A23" s="145"/>
      <c r="B23" s="175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73"/>
      <c r="O23" s="12"/>
    </row>
    <row r="24" spans="1:15" ht="12.75">
      <c r="A24" s="145"/>
      <c r="B24" s="176"/>
      <c r="C24" s="485" t="s">
        <v>83</v>
      </c>
      <c r="D24" s="485"/>
      <c r="E24" s="485"/>
      <c r="F24" s="485"/>
      <c r="G24" s="56"/>
      <c r="H24" s="56"/>
      <c r="I24" s="56"/>
      <c r="J24" s="56"/>
      <c r="K24" s="28"/>
      <c r="L24" s="56"/>
      <c r="M24" s="28"/>
      <c r="N24" s="187" t="s">
        <v>83</v>
      </c>
      <c r="O24" s="12"/>
    </row>
    <row r="25" spans="1:15" ht="3" customHeight="1">
      <c r="A25" s="14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12"/>
    </row>
    <row r="26" spans="1:15" ht="12.75">
      <c r="A26" s="145"/>
      <c r="B26" s="481" t="s">
        <v>80</v>
      </c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3"/>
      <c r="O26" s="12"/>
    </row>
    <row r="27" spans="1:15" ht="6" customHeight="1">
      <c r="A27" s="145"/>
      <c r="B27" s="175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173"/>
      <c r="O27" s="12"/>
    </row>
    <row r="28" spans="1:15" ht="19.5" customHeight="1">
      <c r="A28" s="145"/>
      <c r="B28" s="181" t="s">
        <v>85</v>
      </c>
      <c r="C28" s="479" t="s">
        <v>81</v>
      </c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80"/>
      <c r="O28" s="12"/>
    </row>
    <row r="29" spans="1:15" ht="26.25" customHeight="1">
      <c r="A29" s="145"/>
      <c r="B29" s="183" t="s">
        <v>86</v>
      </c>
      <c r="C29" s="479" t="s">
        <v>418</v>
      </c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80"/>
      <c r="O29" s="12"/>
    </row>
    <row r="30" spans="1:15" ht="54" customHeight="1">
      <c r="A30" s="145"/>
      <c r="B30" s="183" t="s">
        <v>87</v>
      </c>
      <c r="C30" s="479" t="s">
        <v>423</v>
      </c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80"/>
      <c r="O30" s="12"/>
    </row>
    <row r="31" spans="1:15" ht="25.5" customHeight="1">
      <c r="A31" s="145"/>
      <c r="B31" s="183" t="s">
        <v>88</v>
      </c>
      <c r="C31" s="479" t="s">
        <v>82</v>
      </c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80"/>
      <c r="O31" s="12"/>
    </row>
    <row r="32" spans="1:15" ht="18.75" customHeight="1">
      <c r="A32" s="145"/>
      <c r="B32" s="181" t="s">
        <v>89</v>
      </c>
      <c r="C32" s="479" t="s">
        <v>424</v>
      </c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80"/>
      <c r="O32" s="12"/>
    </row>
    <row r="33" spans="1:15" ht="26.25" customHeight="1">
      <c r="A33" s="145"/>
      <c r="B33" s="183" t="s">
        <v>90</v>
      </c>
      <c r="C33" s="479" t="s">
        <v>425</v>
      </c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80"/>
      <c r="O33" s="12"/>
    </row>
    <row r="34" spans="1:15" ht="21.75" customHeight="1">
      <c r="A34" s="145"/>
      <c r="B34" s="181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80"/>
      <c r="O34" s="12"/>
    </row>
    <row r="35" spans="1:15" ht="21.75" customHeight="1">
      <c r="A35" s="145"/>
      <c r="B35" s="181"/>
      <c r="C35" s="489" t="str">
        <f>CONCATENATE("TAN NUMBER OF ",DATA!I35,": ",DATA!K27)</f>
        <v>TAN NUMBER OF Z.P.H.S, MANGINAPUDI: HYDZ03845C</v>
      </c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90"/>
      <c r="O35" s="12"/>
    </row>
    <row r="36" spans="1:15" s="16" customFormat="1" ht="21.75" customHeight="1">
      <c r="A36" s="191"/>
      <c r="B36" s="182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80"/>
      <c r="O36" s="15"/>
    </row>
    <row r="37" spans="1:15" s="16" customFormat="1" ht="21.75" customHeight="1">
      <c r="A37" s="191"/>
      <c r="B37" s="182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80"/>
      <c r="O37" s="15"/>
    </row>
    <row r="38" spans="1:15" ht="4.5" customHeight="1">
      <c r="A38" s="145"/>
      <c r="B38" s="183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80"/>
      <c r="O38" s="12"/>
    </row>
    <row r="39" spans="1:15" ht="17.25" customHeight="1">
      <c r="A39" s="145"/>
      <c r="B39" s="470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2"/>
      <c r="O39" s="12"/>
    </row>
    <row r="40" spans="1:15" ht="12.75">
      <c r="A40" s="145"/>
      <c r="B40" s="184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185"/>
      <c r="O40" s="12"/>
    </row>
    <row r="41" spans="1:15" ht="12.75">
      <c r="A41" s="145"/>
      <c r="B41" s="18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185"/>
      <c r="O41" s="12"/>
    </row>
    <row r="42" spans="1:15" ht="12.75">
      <c r="A42" s="145"/>
      <c r="B42" s="18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185"/>
      <c r="O42" s="12"/>
    </row>
    <row r="43" spans="1:15" ht="12.75" customHeight="1">
      <c r="A43" s="145"/>
      <c r="B43" s="184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185"/>
      <c r="O43" s="12"/>
    </row>
    <row r="44" spans="1:15" ht="16.5" customHeight="1">
      <c r="A44" s="145"/>
      <c r="B44" s="184"/>
      <c r="C44" s="60"/>
      <c r="D44" s="60"/>
      <c r="E44" s="60"/>
      <c r="F44" s="60"/>
      <c r="G44" s="60"/>
      <c r="H44" s="60"/>
      <c r="J44" s="60"/>
      <c r="K44" s="60"/>
      <c r="L44" s="60"/>
      <c r="N44" s="185" t="s">
        <v>83</v>
      </c>
      <c r="O44" s="12"/>
    </row>
    <row r="45" spans="1:15" ht="12.75">
      <c r="A45" s="145"/>
      <c r="B45" s="186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187"/>
      <c r="O45" s="12"/>
    </row>
    <row r="46" spans="1:15" ht="3" customHeight="1">
      <c r="A46" s="145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12"/>
    </row>
    <row r="47" spans="1:15" ht="12.75">
      <c r="A47" s="145"/>
      <c r="B47" s="476" t="s">
        <v>84</v>
      </c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8"/>
      <c r="O47" s="12"/>
    </row>
    <row r="48" spans="1:15" ht="12.75">
      <c r="A48" s="145"/>
      <c r="B48" s="184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185"/>
      <c r="O48" s="12"/>
    </row>
    <row r="49" spans="1:15" ht="12.75">
      <c r="A49" s="145"/>
      <c r="B49" s="184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185"/>
      <c r="O49" s="12"/>
    </row>
    <row r="50" spans="1:15" ht="12.75">
      <c r="A50" s="145"/>
      <c r="B50" s="184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185"/>
      <c r="O50" s="12"/>
    </row>
    <row r="51" spans="1:15" ht="12.75">
      <c r="A51" s="145"/>
      <c r="B51" s="184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185"/>
      <c r="O51" s="12"/>
    </row>
    <row r="52" spans="1:15" ht="12.75">
      <c r="A52" s="145"/>
      <c r="B52" s="184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185"/>
      <c r="O52" s="12"/>
    </row>
    <row r="53" spans="1:15" ht="12.75">
      <c r="A53" s="145"/>
      <c r="B53" s="184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185"/>
      <c r="O53" s="12"/>
    </row>
    <row r="54" spans="1:15" ht="12.75">
      <c r="A54" s="145"/>
      <c r="B54" s="184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185"/>
      <c r="O54" s="12"/>
    </row>
    <row r="55" spans="1:15" ht="12.75">
      <c r="A55" s="145"/>
      <c r="B55" s="186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187"/>
      <c r="O55" s="12"/>
    </row>
    <row r="56" spans="1:15" ht="3" customHeight="1">
      <c r="A56" s="19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193"/>
    </row>
    <row r="57" spans="2:14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146" spans="2:15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8"/>
    </row>
    <row r="147" spans="2:15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8"/>
    </row>
    <row r="148" spans="2:15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8"/>
    </row>
    <row r="149" spans="2:15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8"/>
    </row>
    <row r="150" spans="2:15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8"/>
    </row>
    <row r="151" spans="2:15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8"/>
    </row>
    <row r="152" spans="2:15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8"/>
    </row>
    <row r="153" spans="2:15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8"/>
    </row>
    <row r="154" spans="2:15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8"/>
    </row>
    <row r="155" spans="2:15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8"/>
    </row>
    <row r="156" spans="2:15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8"/>
    </row>
    <row r="157" spans="2:15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8"/>
    </row>
    <row r="158" spans="2:15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8"/>
    </row>
    <row r="159" spans="2:15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8"/>
    </row>
    <row r="160" spans="2:15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8"/>
    </row>
    <row r="161" spans="2:15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8"/>
    </row>
    <row r="162" spans="2:15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8"/>
    </row>
    <row r="163" spans="2:15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8"/>
    </row>
    <row r="164" spans="2:15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8"/>
    </row>
    <row r="165" spans="2:15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8"/>
    </row>
    <row r="166" spans="2:15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8"/>
    </row>
    <row r="167" spans="2:15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8"/>
    </row>
    <row r="168" spans="2:15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8"/>
    </row>
    <row r="169" spans="2:15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8"/>
    </row>
    <row r="170" spans="2:15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8"/>
    </row>
    <row r="171" spans="2:15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8"/>
    </row>
    <row r="172" spans="2:15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8"/>
    </row>
    <row r="173" spans="2:15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8"/>
    </row>
    <row r="174" spans="2:15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8"/>
    </row>
    <row r="175" spans="2:15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8"/>
    </row>
    <row r="176" spans="2:15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8"/>
    </row>
    <row r="177" spans="2:15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8"/>
    </row>
    <row r="178" spans="2:15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8"/>
    </row>
    <row r="179" spans="2:15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8"/>
    </row>
    <row r="180" spans="2:15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8"/>
    </row>
    <row r="181" spans="2:15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8"/>
    </row>
    <row r="182" spans="2:15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8"/>
    </row>
    <row r="183" spans="2:15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8"/>
    </row>
    <row r="184" spans="2:15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8"/>
    </row>
    <row r="185" spans="2:15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8"/>
    </row>
    <row r="186" spans="2:15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8"/>
    </row>
    <row r="187" spans="2:15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8"/>
    </row>
    <row r="188" spans="2:15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8"/>
    </row>
    <row r="189" spans="2:15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8"/>
    </row>
    <row r="190" spans="2:15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8"/>
    </row>
    <row r="191" spans="2:15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8"/>
    </row>
    <row r="192" spans="2:15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8"/>
    </row>
    <row r="193" spans="2:15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8"/>
    </row>
    <row r="194" spans="2:15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8"/>
    </row>
    <row r="195" spans="2:15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8"/>
    </row>
    <row r="196" spans="2:15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8"/>
    </row>
    <row r="197" spans="2:15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8"/>
    </row>
    <row r="198" spans="2:15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8"/>
    </row>
    <row r="199" spans="2:15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8"/>
    </row>
    <row r="200" spans="2:15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8"/>
    </row>
    <row r="201" spans="2:15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8"/>
    </row>
    <row r="202" spans="2:15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8"/>
    </row>
    <row r="203" spans="2:15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8"/>
    </row>
    <row r="204" spans="2:15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8"/>
    </row>
    <row r="205" spans="2:15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8"/>
    </row>
    <row r="206" spans="2:15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8"/>
    </row>
    <row r="207" spans="2:15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8"/>
    </row>
    <row r="208" spans="2:15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8"/>
    </row>
    <row r="209" spans="2:15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8"/>
    </row>
    <row r="210" spans="2:15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8"/>
    </row>
    <row r="211" spans="2:15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8"/>
    </row>
    <row r="212" spans="2:15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8"/>
    </row>
    <row r="213" spans="2:15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8"/>
    </row>
    <row r="214" spans="2:15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8"/>
    </row>
    <row r="215" spans="2:15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8"/>
    </row>
    <row r="216" spans="2:15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8"/>
    </row>
    <row r="217" spans="2:15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8"/>
    </row>
    <row r="218" spans="2:15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8"/>
    </row>
    <row r="219" spans="2:15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8"/>
    </row>
    <row r="220" spans="2:15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8"/>
    </row>
    <row r="221" spans="2:15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8"/>
    </row>
    <row r="222" spans="2:15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8"/>
    </row>
    <row r="223" spans="2:15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8"/>
    </row>
    <row r="224" spans="2:15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8"/>
    </row>
    <row r="225" spans="2:15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8"/>
    </row>
    <row r="226" spans="2:15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8"/>
    </row>
    <row r="227" spans="2:15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8"/>
    </row>
    <row r="228" spans="2:15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8"/>
    </row>
    <row r="229" spans="2:15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8"/>
    </row>
    <row r="230" spans="2:15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8"/>
    </row>
    <row r="231" spans="2:15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8"/>
    </row>
    <row r="232" spans="2:15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8"/>
    </row>
    <row r="233" spans="2:15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8"/>
    </row>
    <row r="234" spans="2:15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8"/>
    </row>
    <row r="235" spans="2:15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8"/>
    </row>
    <row r="236" spans="2:15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8"/>
    </row>
    <row r="237" spans="2:15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8"/>
    </row>
    <row r="238" spans="2:15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8"/>
    </row>
    <row r="239" spans="2:15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8"/>
    </row>
    <row r="240" spans="2:15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8"/>
    </row>
    <row r="241" spans="2:15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8"/>
    </row>
    <row r="242" spans="2:15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8"/>
    </row>
    <row r="243" spans="2:15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8"/>
    </row>
    <row r="244" spans="2:15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8"/>
    </row>
    <row r="245" spans="2:15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8"/>
    </row>
    <row r="246" spans="2:15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8"/>
    </row>
    <row r="247" spans="2:15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8"/>
    </row>
    <row r="248" spans="2:15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8"/>
    </row>
    <row r="249" spans="2:15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8"/>
    </row>
    <row r="250" spans="2:15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8"/>
    </row>
    <row r="251" spans="2:15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8"/>
    </row>
    <row r="252" spans="2:15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8"/>
    </row>
    <row r="253" spans="2:15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8"/>
    </row>
    <row r="254" spans="2:15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8"/>
    </row>
    <row r="255" spans="2:15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8"/>
    </row>
    <row r="256" spans="2:15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8"/>
    </row>
    <row r="257" spans="2:15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8"/>
    </row>
    <row r="258" spans="2:15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8"/>
    </row>
    <row r="259" spans="2:15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8"/>
    </row>
    <row r="260" spans="2:15" ht="12.7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8"/>
    </row>
    <row r="261" spans="2:15" ht="12.7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8"/>
    </row>
    <row r="262" spans="2:15" ht="12.7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8"/>
    </row>
    <row r="263" spans="2:15" ht="12.7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8"/>
    </row>
    <row r="264" spans="2:15" ht="12.7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8"/>
    </row>
    <row r="265" spans="2:15" ht="12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8"/>
    </row>
    <row r="266" spans="2:15" ht="12.7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8"/>
    </row>
    <row r="267" spans="2:15" ht="12.7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8"/>
    </row>
    <row r="268" spans="2:15" ht="12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8"/>
    </row>
    <row r="269" spans="2:15" ht="12.7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8"/>
    </row>
    <row r="270" spans="2:15" ht="12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8"/>
    </row>
    <row r="271" spans="2:15" ht="12.7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8"/>
    </row>
    <row r="272" spans="2:15" ht="12.7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8"/>
    </row>
    <row r="273" spans="2:15" ht="12.7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8"/>
    </row>
    <row r="274" spans="2:15" ht="12.7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8"/>
    </row>
    <row r="275" spans="2:15" ht="12.7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8"/>
    </row>
    <row r="276" spans="2:15" ht="12.7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8"/>
    </row>
    <row r="277" spans="2:15" ht="12.7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8"/>
    </row>
    <row r="278" spans="2:15" ht="12.7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8"/>
    </row>
    <row r="279" spans="2:15" ht="12.7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8"/>
    </row>
    <row r="280" spans="2:15" ht="12.7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8"/>
    </row>
    <row r="281" spans="2:15" ht="12.7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8"/>
    </row>
    <row r="282" spans="2:15" ht="12.7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8"/>
    </row>
    <row r="283" spans="2:15" ht="12.7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8"/>
    </row>
    <row r="284" spans="2:15" ht="12.7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8"/>
    </row>
    <row r="285" spans="2:15" ht="12.7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8"/>
    </row>
    <row r="286" spans="2:15" ht="12.7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8"/>
    </row>
    <row r="287" spans="2:15" ht="12.7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8"/>
    </row>
    <row r="288" spans="2:15" ht="12.7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8"/>
    </row>
    <row r="289" spans="2:15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8"/>
    </row>
    <row r="290" spans="2:15" ht="12.7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8"/>
    </row>
    <row r="291" spans="2:15" ht="12.7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8"/>
    </row>
    <row r="292" spans="2:15" ht="12.7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8"/>
    </row>
    <row r="293" spans="2:15" ht="12.7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8"/>
    </row>
    <row r="294" spans="2:15" ht="12.7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8"/>
    </row>
    <row r="295" spans="2:15" ht="12.7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8"/>
    </row>
    <row r="296" spans="2:15" ht="12.7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8"/>
    </row>
    <row r="297" spans="2:15" ht="12.7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8"/>
    </row>
    <row r="298" spans="2:15" ht="12.7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8"/>
    </row>
    <row r="299" spans="2:15" ht="12.7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8"/>
    </row>
    <row r="300" spans="2:15" ht="12.7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8"/>
    </row>
    <row r="301" spans="2:15" ht="12.7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8"/>
    </row>
    <row r="302" spans="2:15" ht="12.7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8"/>
    </row>
    <row r="303" spans="2:15" ht="12.7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8"/>
    </row>
    <row r="304" spans="2:15" ht="12.7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8"/>
    </row>
    <row r="305" spans="2:15" ht="12.7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8"/>
    </row>
    <row r="306" spans="2:15" ht="12.7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8"/>
    </row>
    <row r="307" spans="2:15" ht="12.7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8"/>
    </row>
    <row r="308" spans="2:15" ht="12.7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8"/>
    </row>
    <row r="309" spans="2:15" ht="12.7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8"/>
    </row>
    <row r="310" spans="2:15" ht="12.7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8"/>
    </row>
    <row r="311" spans="2:15" ht="12.7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8"/>
    </row>
    <row r="312" spans="2:15" ht="12.7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8"/>
    </row>
    <row r="313" spans="2:15" ht="12.7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8"/>
    </row>
    <row r="314" spans="2:15" ht="12.7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8"/>
    </row>
    <row r="315" spans="2:15" ht="12.7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8"/>
    </row>
    <row r="316" spans="2:15" ht="12.7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8"/>
    </row>
    <row r="317" spans="2:15" ht="12.7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8"/>
    </row>
    <row r="318" spans="2:15" ht="12.7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8"/>
    </row>
    <row r="319" spans="2:15" ht="12.7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8"/>
    </row>
    <row r="320" spans="2:15" ht="12.7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8"/>
    </row>
    <row r="321" spans="2:15" ht="12.7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8"/>
    </row>
    <row r="322" spans="2:15" ht="12.7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8"/>
    </row>
    <row r="323" spans="2:15" ht="12.7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8"/>
    </row>
    <row r="324" spans="2:15" ht="12.7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8"/>
    </row>
    <row r="325" spans="2:15" ht="12.7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8"/>
    </row>
    <row r="326" spans="2:15" ht="12.7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8"/>
    </row>
    <row r="327" spans="2:15" ht="12.7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8"/>
    </row>
    <row r="328" spans="2:15" ht="12.7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8"/>
    </row>
    <row r="329" spans="2:15" ht="12.7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8"/>
    </row>
    <row r="330" spans="2:15" ht="12.7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8"/>
    </row>
    <row r="331" spans="2:15" ht="12.7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8"/>
    </row>
    <row r="332" spans="2:15" ht="12.7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8"/>
    </row>
    <row r="333" spans="2:15" ht="12.7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8"/>
    </row>
    <row r="334" spans="2:15" ht="12.7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8"/>
    </row>
    <row r="335" spans="2:15" ht="12.7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8"/>
    </row>
    <row r="336" spans="2:15" ht="12.7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8"/>
    </row>
    <row r="337" spans="2:15" ht="12.7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8"/>
    </row>
    <row r="338" spans="2:15" ht="12.7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8"/>
    </row>
    <row r="339" spans="2:15" ht="12.7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8"/>
    </row>
    <row r="340" spans="2:15" ht="12.7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8"/>
    </row>
    <row r="341" spans="2:15" ht="12.7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8"/>
    </row>
    <row r="342" spans="2:15" ht="12.7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8"/>
    </row>
    <row r="343" spans="2:15" ht="12.7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8"/>
    </row>
    <row r="344" spans="2:15" ht="12.7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8"/>
    </row>
    <row r="345" spans="2:15" ht="12.7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8"/>
    </row>
    <row r="346" spans="2:15" ht="12.7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8"/>
    </row>
    <row r="347" spans="2:15" ht="12.7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8"/>
    </row>
    <row r="348" spans="2:15" ht="12.7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8"/>
    </row>
    <row r="349" spans="2:15" ht="12.7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8"/>
    </row>
    <row r="350" spans="2:15" ht="12.7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8"/>
    </row>
    <row r="351" spans="2:15" ht="12.7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8"/>
    </row>
    <row r="352" spans="2:15" ht="12.7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8"/>
    </row>
    <row r="353" spans="2:15" ht="12.7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8"/>
    </row>
    <row r="354" spans="2:15" ht="12.7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8"/>
    </row>
    <row r="355" spans="2:15" ht="12.7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8"/>
    </row>
    <row r="356" spans="2:15" ht="12.7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8"/>
    </row>
    <row r="357" spans="2:15" ht="12.7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8"/>
    </row>
    <row r="358" spans="2:15" ht="12.7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8"/>
    </row>
    <row r="359" spans="2:15" ht="12.7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8"/>
    </row>
    <row r="360" spans="2:15" ht="12.7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8"/>
    </row>
    <row r="361" spans="2:15" ht="12.7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8"/>
    </row>
    <row r="362" spans="2:15" ht="12.7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8"/>
    </row>
    <row r="363" spans="2:15" ht="12.7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8"/>
    </row>
    <row r="364" spans="2:15" ht="12.7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8"/>
    </row>
    <row r="365" spans="2:15" ht="12.7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8"/>
    </row>
    <row r="366" spans="2:15" ht="12.7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8"/>
    </row>
    <row r="367" spans="2:15" ht="12.7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8"/>
    </row>
    <row r="368" spans="2:15" ht="12.7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8"/>
    </row>
    <row r="369" spans="2:15" ht="12.7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8"/>
    </row>
    <row r="370" spans="2:15" ht="12.7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8"/>
    </row>
    <row r="371" spans="2:15" ht="12.7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8"/>
    </row>
    <row r="372" spans="2:15" ht="12.7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8"/>
    </row>
    <row r="373" spans="2:15" ht="12.7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8"/>
    </row>
    <row r="374" spans="2:15" ht="12.7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8"/>
    </row>
    <row r="375" spans="2:15" ht="12.7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8"/>
    </row>
    <row r="376" spans="2:15" ht="12.7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8"/>
    </row>
    <row r="377" spans="2:15" ht="12.7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8"/>
    </row>
    <row r="378" spans="2:15" ht="12.7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8"/>
    </row>
    <row r="379" spans="2:15" ht="12.7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8"/>
    </row>
    <row r="380" spans="2:15" ht="12.7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8"/>
    </row>
    <row r="381" spans="2:15" ht="12.7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8"/>
    </row>
    <row r="382" spans="2:15" ht="12.7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8"/>
    </row>
    <row r="383" spans="2:15" ht="12.7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8"/>
    </row>
    <row r="384" spans="2:15" ht="12.7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8"/>
    </row>
    <row r="385" spans="2:15" ht="12.7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8"/>
    </row>
    <row r="386" spans="2:15" ht="12.7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8"/>
    </row>
    <row r="387" spans="2:15" ht="12.7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8"/>
    </row>
    <row r="388" spans="2:15" ht="12.7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8"/>
    </row>
    <row r="389" spans="2:15" ht="12.7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8"/>
    </row>
    <row r="390" spans="2:15" ht="12.7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8"/>
    </row>
    <row r="391" spans="2:15" ht="12.7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8"/>
    </row>
    <row r="392" spans="2:15" ht="12.7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8"/>
    </row>
    <row r="393" spans="2:15" ht="12.7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8"/>
    </row>
    <row r="394" spans="2:15" ht="12.7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8"/>
    </row>
    <row r="395" spans="2:15" ht="12.7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8"/>
    </row>
    <row r="396" spans="2:15" ht="12.7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8"/>
    </row>
    <row r="397" spans="2:15" ht="12.7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8"/>
    </row>
    <row r="398" spans="2:15" ht="12.7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8"/>
    </row>
    <row r="399" spans="2:15" ht="12.7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8"/>
    </row>
    <row r="400" spans="2:15" ht="12.7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8"/>
    </row>
    <row r="401" spans="2:15" ht="12.7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8"/>
    </row>
    <row r="402" spans="2:15" ht="12.7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8"/>
    </row>
    <row r="403" spans="2:15" ht="12.7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8"/>
    </row>
    <row r="404" spans="2:15" ht="12.7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8"/>
    </row>
    <row r="405" spans="2:15" ht="12.7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8"/>
    </row>
    <row r="406" spans="2:15" ht="12.7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8"/>
    </row>
    <row r="407" spans="2:15" ht="12.7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8"/>
    </row>
    <row r="408" spans="2:15" ht="12.7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8"/>
    </row>
    <row r="409" spans="2:15" ht="12.7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8"/>
    </row>
    <row r="410" spans="2:15" ht="12.7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8"/>
    </row>
    <row r="411" spans="2:15" ht="12.7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8"/>
    </row>
    <row r="412" spans="2:15" ht="12.7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8"/>
    </row>
    <row r="413" spans="2:15" ht="12.7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8"/>
    </row>
    <row r="414" spans="2:15" ht="12.7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8"/>
    </row>
    <row r="415" spans="2:15" ht="12.7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8"/>
    </row>
    <row r="416" spans="2:15" ht="12.7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8"/>
    </row>
    <row r="417" spans="2:15" ht="12.7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8"/>
    </row>
    <row r="418" spans="2:15" ht="12.7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8"/>
    </row>
    <row r="419" spans="2:15" ht="12.7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8"/>
    </row>
    <row r="420" spans="2:15" ht="12.7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8"/>
    </row>
    <row r="421" spans="2:15" ht="12.7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8"/>
    </row>
    <row r="422" spans="2:15" ht="12.7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8"/>
    </row>
    <row r="423" spans="2:15" ht="12.7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8"/>
    </row>
    <row r="424" spans="2:15" ht="12.7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8"/>
    </row>
    <row r="425" spans="2:15" ht="12.7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8"/>
    </row>
    <row r="426" spans="2:15" ht="12.7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8"/>
    </row>
    <row r="427" spans="2:15" ht="12.7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8"/>
    </row>
    <row r="428" spans="2:15" ht="12.7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8"/>
    </row>
    <row r="429" spans="2:15" ht="12.7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8"/>
    </row>
    <row r="430" spans="2:15" ht="12.7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8"/>
    </row>
    <row r="431" spans="2:15" ht="12.7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8"/>
    </row>
    <row r="432" spans="2:15" ht="12.7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8"/>
    </row>
    <row r="433" spans="2:15" ht="12.7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8"/>
    </row>
    <row r="434" spans="2:15" ht="12.7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8"/>
    </row>
    <row r="435" spans="2:15" ht="12.7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8"/>
    </row>
    <row r="436" spans="2:15" ht="12.7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8"/>
    </row>
    <row r="437" spans="2:15" ht="12.7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8"/>
    </row>
    <row r="438" spans="2:15" ht="12.7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8"/>
    </row>
    <row r="439" spans="2:15" ht="12.7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8"/>
    </row>
    <row r="440" spans="2:15" ht="12.7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8"/>
    </row>
    <row r="441" spans="2:15" ht="12.7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8"/>
    </row>
    <row r="442" spans="2:15" ht="12.7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8"/>
    </row>
    <row r="443" spans="2:15" ht="12.7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8"/>
    </row>
    <row r="444" spans="2:15" ht="12.7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8"/>
    </row>
    <row r="445" spans="2:15" ht="12.7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8"/>
    </row>
    <row r="446" spans="2:15" ht="12.7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8"/>
    </row>
    <row r="447" spans="2:15" ht="12.7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8"/>
    </row>
    <row r="448" spans="2:15" ht="12.7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8"/>
    </row>
    <row r="449" spans="2:15" ht="12.7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8"/>
    </row>
    <row r="450" spans="2:15" ht="12.7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8"/>
    </row>
    <row r="451" spans="2:15" ht="12.7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8"/>
    </row>
    <row r="452" spans="2:15" ht="12.7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8"/>
    </row>
    <row r="453" spans="2:15" ht="12.7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8"/>
    </row>
    <row r="454" spans="2:15" ht="12.7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8"/>
    </row>
    <row r="455" spans="2:15" ht="12.7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8"/>
    </row>
    <row r="456" spans="2:15" ht="12.7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8"/>
    </row>
    <row r="457" spans="2:15" ht="12.7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8"/>
    </row>
    <row r="458" spans="2:15" ht="12.7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8"/>
    </row>
    <row r="459" spans="2:15" ht="12.7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8"/>
    </row>
    <row r="460" spans="2:15" ht="12.7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8"/>
    </row>
    <row r="461" spans="2:15" ht="12.7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8"/>
    </row>
    <row r="462" spans="2:15" ht="12.7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8"/>
    </row>
    <row r="463" spans="2:15" ht="12.7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8"/>
    </row>
    <row r="464" spans="2:15" ht="12.7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8"/>
    </row>
    <row r="465" spans="2:15" ht="12.7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8"/>
    </row>
    <row r="466" spans="2:15" ht="12.7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8"/>
    </row>
    <row r="467" spans="2:15" ht="12.7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8"/>
    </row>
    <row r="468" spans="2:15" ht="12.7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8"/>
    </row>
    <row r="469" spans="2:15" ht="12.7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8"/>
    </row>
    <row r="470" spans="2:15" ht="12.7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8"/>
    </row>
    <row r="471" spans="2:15" ht="12.7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8"/>
    </row>
    <row r="472" spans="2:15" ht="12.7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8"/>
    </row>
    <row r="473" spans="2:15" ht="12.7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8"/>
    </row>
    <row r="474" spans="2:15" ht="12.7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8"/>
    </row>
    <row r="475" spans="2:15" ht="12.7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8"/>
    </row>
    <row r="476" spans="2:15" ht="12.7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8"/>
    </row>
    <row r="477" spans="2:15" ht="12.7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8"/>
    </row>
    <row r="478" spans="2:15" ht="12.7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8"/>
    </row>
    <row r="479" spans="2:15" ht="12.7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8"/>
    </row>
    <row r="480" spans="2:15" ht="12.7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8"/>
    </row>
    <row r="481" spans="2:15" ht="12.7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8"/>
    </row>
    <row r="482" spans="2:15" ht="12.7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8"/>
    </row>
    <row r="483" spans="2:15" ht="12.7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8"/>
    </row>
    <row r="484" spans="2:15" ht="12.7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8"/>
    </row>
    <row r="485" spans="2:15" ht="12.7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8"/>
    </row>
    <row r="486" spans="2:15" ht="12.7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8"/>
    </row>
    <row r="487" spans="2:15" ht="12.7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8"/>
    </row>
    <row r="488" spans="2:15" ht="12.7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8"/>
    </row>
    <row r="489" spans="2:15" ht="12.7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8"/>
    </row>
    <row r="490" spans="2:15" ht="12.7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8"/>
    </row>
    <row r="491" spans="2:15" ht="12.7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8"/>
    </row>
    <row r="492" spans="2:15" ht="12.7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8"/>
    </row>
    <row r="493" spans="2:15" ht="12.7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8"/>
    </row>
    <row r="494" spans="2:15" ht="12.7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8"/>
    </row>
    <row r="495" spans="2:15" ht="12.7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8"/>
    </row>
    <row r="496" spans="2:15" ht="12.7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8"/>
    </row>
    <row r="497" spans="2:15" ht="12.7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8"/>
    </row>
    <row r="498" spans="2:15" ht="12.7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8"/>
    </row>
  </sheetData>
  <sheetProtection/>
  <mergeCells count="19">
    <mergeCell ref="B26:N26"/>
    <mergeCell ref="L6:M6"/>
    <mergeCell ref="C24:F24"/>
    <mergeCell ref="E15:N15"/>
    <mergeCell ref="G14:H14"/>
    <mergeCell ref="C37:N37"/>
    <mergeCell ref="C35:N35"/>
    <mergeCell ref="C33:N33"/>
    <mergeCell ref="C34:N34"/>
    <mergeCell ref="B39:N39"/>
    <mergeCell ref="B2:N2"/>
    <mergeCell ref="B47:N47"/>
    <mergeCell ref="C28:N28"/>
    <mergeCell ref="C29:N29"/>
    <mergeCell ref="C30:N30"/>
    <mergeCell ref="C31:N31"/>
    <mergeCell ref="C32:N32"/>
    <mergeCell ref="C36:N36"/>
    <mergeCell ref="C38:N38"/>
  </mergeCells>
  <printOptions/>
  <pageMargins left="0.47" right="0.38" top="0.54" bottom="0.39" header="0.41" footer="0.33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P32"/>
  <sheetViews>
    <sheetView zoomScalePageLayoutView="0" workbookViewId="0" topLeftCell="A10">
      <selection activeCell="B14" sqref="B14"/>
    </sheetView>
  </sheetViews>
  <sheetFormatPr defaultColWidth="9.140625" defaultRowHeight="12.75"/>
  <cols>
    <col min="1" max="1" width="5.140625" style="0" customWidth="1"/>
    <col min="2" max="2" width="10.140625" style="0" customWidth="1"/>
    <col min="3" max="3" width="18.57421875" style="23" customWidth="1"/>
    <col min="4" max="4" width="18.00390625" style="0" customWidth="1"/>
    <col min="5" max="5" width="8.140625" style="0" customWidth="1"/>
    <col min="6" max="6" width="4.28125" style="0" customWidth="1"/>
    <col min="7" max="7" width="0.85546875" style="0" customWidth="1"/>
    <col min="8" max="8" width="4.28125" style="0" customWidth="1"/>
    <col min="9" max="9" width="5.140625" style="0" customWidth="1"/>
    <col min="10" max="10" width="10.140625" style="0" customWidth="1"/>
    <col min="11" max="11" width="18.57421875" style="23" customWidth="1"/>
    <col min="12" max="12" width="18.00390625" style="0" customWidth="1"/>
    <col min="13" max="13" width="8.140625" style="0" customWidth="1"/>
    <col min="14" max="14" width="0.5625" style="0" customWidth="1"/>
    <col min="15" max="15" width="0.2890625" style="0" hidden="1" customWidth="1"/>
  </cols>
  <sheetData>
    <row r="1" spans="1:16" ht="45" customHeight="1">
      <c r="A1" s="501" t="str">
        <f>DATA!I35</f>
        <v>Z.P.H.S, MANGINAPUDI</v>
      </c>
      <c r="B1" s="501"/>
      <c r="C1" s="242"/>
      <c r="D1" s="500" t="str">
        <f>CONCATENATE("Tran ID NO: _____________","                                   Date: _____________","                                D.D.O Code: ",DATA!G29,"                                      Cell No: ",DATA!K28)</f>
        <v>Tran ID NO: _____________                                   Date: _____________                                D.D.O Code: 07050308033                                      Cell No: 8008209190</v>
      </c>
      <c r="E1" s="500"/>
      <c r="F1" s="116"/>
      <c r="G1" s="116"/>
      <c r="I1" s="499" t="str">
        <f>A1</f>
        <v>Z.P.H.S, MANGINAPUDI</v>
      </c>
      <c r="J1" s="499"/>
      <c r="K1" s="239"/>
      <c r="L1" s="502" t="str">
        <f>D1</f>
        <v>Tran ID NO: _____________                                   Date: _____________                                D.D.O Code: 07050308033                                      Cell No: 8008209190</v>
      </c>
      <c r="M1" s="502"/>
      <c r="N1" s="502"/>
      <c r="O1" s="236"/>
      <c r="P1" s="236"/>
    </row>
    <row r="2" spans="1:16" ht="18.75" customHeight="1">
      <c r="A2" s="411" t="s">
        <v>100</v>
      </c>
      <c r="B2" s="411"/>
      <c r="C2" s="411"/>
      <c r="D2" s="411"/>
      <c r="E2" s="411"/>
      <c r="F2" s="114"/>
      <c r="G2" s="114"/>
      <c r="I2" s="411" t="str">
        <f>A2</f>
        <v>ANNEXURE-I</v>
      </c>
      <c r="J2" s="411"/>
      <c r="K2" s="411"/>
      <c r="L2" s="411"/>
      <c r="M2" s="411"/>
      <c r="N2" s="411"/>
      <c r="O2" s="236"/>
      <c r="P2" s="236"/>
    </row>
    <row r="3" spans="1:16" ht="15" customHeight="1">
      <c r="A3" s="493" t="s">
        <v>165</v>
      </c>
      <c r="B3" s="493"/>
      <c r="C3" s="493"/>
      <c r="D3" s="493"/>
      <c r="E3" s="493"/>
      <c r="F3" s="62"/>
      <c r="G3" s="62"/>
      <c r="I3" s="411" t="str">
        <f>A3</f>
        <v>(Employee wise details)</v>
      </c>
      <c r="J3" s="411"/>
      <c r="K3" s="411"/>
      <c r="L3" s="411"/>
      <c r="M3" s="411"/>
      <c r="N3" s="411"/>
      <c r="O3" s="236"/>
      <c r="P3" s="236"/>
    </row>
    <row r="4" spans="1:16" ht="16.5" customHeight="1">
      <c r="A4" s="491" t="s">
        <v>25</v>
      </c>
      <c r="B4" s="491"/>
      <c r="C4" s="491"/>
      <c r="D4" s="491"/>
      <c r="E4" s="491"/>
      <c r="F4" s="20"/>
      <c r="G4" s="20"/>
      <c r="I4" s="491" t="str">
        <f>A4</f>
        <v>To be furnished by the DDO in triplicate along with the bill</v>
      </c>
      <c r="J4" s="491"/>
      <c r="K4" s="491"/>
      <c r="L4" s="491"/>
      <c r="M4" s="491"/>
      <c r="N4" s="491"/>
      <c r="O4" s="236"/>
      <c r="P4" s="236"/>
    </row>
    <row r="5" spans="1:16" ht="9" customHeight="1">
      <c r="A5" s="62"/>
      <c r="B5" s="62"/>
      <c r="C5" s="243"/>
      <c r="D5" s="62"/>
      <c r="E5" s="62"/>
      <c r="F5" s="62"/>
      <c r="G5" s="62"/>
      <c r="I5" s="411"/>
      <c r="J5" s="411"/>
      <c r="K5" s="411"/>
      <c r="L5" s="411"/>
      <c r="M5" s="411"/>
      <c r="N5" s="411"/>
      <c r="O5" s="236"/>
      <c r="P5" s="236"/>
    </row>
    <row r="6" spans="1:16" ht="15.75" customHeight="1">
      <c r="A6" s="498" t="str">
        <f>CONCATENATE("Name of the NPB : ",DATA!E27)</f>
        <v>Name of the NPB : SYNDICATE BANK, DARSI</v>
      </c>
      <c r="B6" s="498"/>
      <c r="C6" s="498"/>
      <c r="D6" s="498"/>
      <c r="E6" s="498"/>
      <c r="F6" s="27"/>
      <c r="G6" s="27"/>
      <c r="I6" s="503" t="str">
        <f>A6</f>
        <v>Name of the NPB : SYNDICATE BANK, DARSI</v>
      </c>
      <c r="J6" s="503"/>
      <c r="K6" s="503"/>
      <c r="L6" s="503"/>
      <c r="M6" s="503"/>
      <c r="N6" s="503"/>
      <c r="O6" s="236"/>
      <c r="P6" s="236"/>
    </row>
    <row r="7" spans="1:16" ht="15.75" customHeight="1">
      <c r="A7" s="3" t="str">
        <f>CONCATENATE("DDO CODE           : ",DATA!G29,"                   Date :")</f>
        <v>DDO CODE           : 07050308033                   Date :</v>
      </c>
      <c r="B7" s="26"/>
      <c r="C7" s="26"/>
      <c r="D7" s="26"/>
      <c r="E7" s="26"/>
      <c r="F7" s="26"/>
      <c r="G7" s="26"/>
      <c r="I7" s="3" t="str">
        <f>A7</f>
        <v>DDO CODE           : 07050308033                   Date :</v>
      </c>
      <c r="J7" s="26"/>
      <c r="K7" s="26"/>
      <c r="L7" s="26"/>
      <c r="M7" s="26"/>
      <c r="N7" s="237"/>
      <c r="O7" s="236"/>
      <c r="P7" s="236"/>
    </row>
    <row r="8" spans="1:16" ht="15.75" customHeight="1">
      <c r="A8" s="3" t="str">
        <f>CONCATENATE("DDO Desig           : ",DATA!I27,"      Trans - ID - No:")</f>
        <v>DDO Desig           : GAZ. HEAD MASTER      Trans - ID - No:</v>
      </c>
      <c r="B8" s="26"/>
      <c r="C8" s="26"/>
      <c r="D8" s="26"/>
      <c r="E8" s="26"/>
      <c r="F8" s="26"/>
      <c r="G8" s="26"/>
      <c r="I8" s="3" t="str">
        <f>A8</f>
        <v>DDO Desig           : GAZ. HEAD MASTER      Trans - ID - No:</v>
      </c>
      <c r="J8" s="26"/>
      <c r="K8" s="26"/>
      <c r="L8" s="26"/>
      <c r="M8" s="26"/>
      <c r="N8" s="237"/>
      <c r="O8" s="236"/>
      <c r="P8" s="236"/>
    </row>
    <row r="9" spans="1:16" ht="4.5" customHeight="1">
      <c r="A9" s="3"/>
      <c r="B9" s="26"/>
      <c r="C9" s="26"/>
      <c r="D9" s="26"/>
      <c r="E9" s="26"/>
      <c r="F9" s="26"/>
      <c r="G9" s="26"/>
      <c r="I9" s="236"/>
      <c r="J9" s="236"/>
      <c r="K9" s="239"/>
      <c r="L9" s="236"/>
      <c r="M9" s="236"/>
      <c r="N9" s="236"/>
      <c r="O9" s="236"/>
      <c r="P9" s="236"/>
    </row>
    <row r="10" spans="1:16" s="22" customFormat="1" ht="43.5" customHeight="1">
      <c r="A10" s="238" t="s">
        <v>0</v>
      </c>
      <c r="B10" s="238" t="s">
        <v>179</v>
      </c>
      <c r="C10" s="316" t="s">
        <v>26</v>
      </c>
      <c r="D10" s="238" t="s">
        <v>27</v>
      </c>
      <c r="E10" s="238" t="s">
        <v>175</v>
      </c>
      <c r="F10" s="317"/>
      <c r="G10" s="317"/>
      <c r="I10" s="238" t="str">
        <f aca="true" t="shared" si="0" ref="I10:I22">A10</f>
        <v>Sl.No</v>
      </c>
      <c r="J10" s="238" t="str">
        <f aca="true" t="shared" si="1" ref="J10:J22">B10</f>
        <v>Employee I.D </v>
      </c>
      <c r="K10" s="238" t="str">
        <f aca="true" t="shared" si="2" ref="K10:K22">C10</f>
        <v>Employee Name</v>
      </c>
      <c r="L10" s="238" t="str">
        <f aca="true" t="shared" si="3" ref="L10:L22">D10</f>
        <v>Employee Account No.</v>
      </c>
      <c r="M10" s="238" t="str">
        <f aca="true" t="shared" si="4" ref="M10:M22">E10</f>
        <v>Amount to be Credited</v>
      </c>
      <c r="N10" s="318"/>
      <c r="O10" s="318"/>
      <c r="P10" s="318"/>
    </row>
    <row r="11" spans="1:16" ht="15" customHeight="1">
      <c r="A11" s="207">
        <v>1</v>
      </c>
      <c r="B11" s="208" t="str">
        <f>DATA!F164</f>
        <v>0725419</v>
      </c>
      <c r="C11" s="209" t="str">
        <f>DATA!B164</f>
        <v>G.SRINIVASULU</v>
      </c>
      <c r="D11" s="241" t="str">
        <f>HLOOKUP(A11,DATA!$E$5:$P$25,21,FALSE)</f>
        <v>3641 / 220 / 0157584</v>
      </c>
      <c r="E11" s="210">
        <f>VLOOKUP(B11,BILL!$A$5:$X$16,22,FALSE)</f>
        <v>2000</v>
      </c>
      <c r="F11" s="117"/>
      <c r="G11" s="117"/>
      <c r="H11" s="24"/>
      <c r="I11" s="65">
        <f t="shared" si="0"/>
        <v>1</v>
      </c>
      <c r="J11" s="246" t="str">
        <f t="shared" si="1"/>
        <v>0725419</v>
      </c>
      <c r="K11" s="244" t="str">
        <f t="shared" si="2"/>
        <v>G.SRINIVASULU</v>
      </c>
      <c r="L11" s="238" t="str">
        <f t="shared" si="3"/>
        <v>3641 / 220 / 0157584</v>
      </c>
      <c r="M11" s="311">
        <f t="shared" si="4"/>
        <v>2000</v>
      </c>
      <c r="N11" s="236"/>
      <c r="O11" s="236"/>
      <c r="P11" s="236"/>
    </row>
    <row r="12" spans="1:16" ht="15" customHeight="1">
      <c r="A12" s="207">
        <v>2</v>
      </c>
      <c r="B12" s="208" t="str">
        <f>DATA!F165</f>
        <v>0718363</v>
      </c>
      <c r="C12" s="209" t="str">
        <f>DATA!B165</f>
        <v>T.SRINIVASA RAO</v>
      </c>
      <c r="D12" s="241" t="str">
        <f>HLOOKUP(A12,DATA!$E$5:$P$25,21,FALSE)</f>
        <v>3641 / 220 / 0131738</v>
      </c>
      <c r="E12" s="210">
        <f>VLOOKUP(B12,BILL!$A$5:$X$16,22,FALSE)</f>
        <v>2000</v>
      </c>
      <c r="F12" s="117"/>
      <c r="G12" s="117"/>
      <c r="H12" s="24"/>
      <c r="I12" s="65">
        <f t="shared" si="0"/>
        <v>2</v>
      </c>
      <c r="J12" s="246" t="str">
        <f t="shared" si="1"/>
        <v>0718363</v>
      </c>
      <c r="K12" s="244" t="str">
        <f t="shared" si="2"/>
        <v>T.SRINIVASA RAO</v>
      </c>
      <c r="L12" s="238" t="str">
        <f t="shared" si="3"/>
        <v>3641 / 220 / 0131738</v>
      </c>
      <c r="M12" s="311">
        <f t="shared" si="4"/>
        <v>2000</v>
      </c>
      <c r="N12" s="236"/>
      <c r="O12" s="236"/>
      <c r="P12" s="236"/>
    </row>
    <row r="13" spans="1:16" ht="15" customHeight="1">
      <c r="A13" s="207">
        <v>3</v>
      </c>
      <c r="B13" s="208">
        <f>DATA!F166</f>
        <v>0</v>
      </c>
      <c r="C13" s="209">
        <f>DATA!B166</f>
        <v>0</v>
      </c>
      <c r="D13" s="241">
        <f>HLOOKUP(A13,DATA!$E$5:$P$25,21,FALSE)</f>
        <v>0</v>
      </c>
      <c r="E13" s="210">
        <f>VLOOKUP(B13,BILL!$A$5:$X$16,22,FALSE)</f>
        <v>0</v>
      </c>
      <c r="F13" s="117"/>
      <c r="G13" s="117"/>
      <c r="H13" s="24"/>
      <c r="I13" s="65">
        <f t="shared" si="0"/>
        <v>3</v>
      </c>
      <c r="J13" s="246">
        <f t="shared" si="1"/>
        <v>0</v>
      </c>
      <c r="K13" s="244">
        <f t="shared" si="2"/>
        <v>0</v>
      </c>
      <c r="L13" s="238">
        <f t="shared" si="3"/>
        <v>0</v>
      </c>
      <c r="M13" s="311">
        <f t="shared" si="4"/>
        <v>0</v>
      </c>
      <c r="N13" s="236"/>
      <c r="O13" s="236"/>
      <c r="P13" s="236"/>
    </row>
    <row r="14" spans="1:16" ht="15" customHeight="1">
      <c r="A14" s="207">
        <v>4</v>
      </c>
      <c r="B14" s="208">
        <f>DATA!F167</f>
        <v>0</v>
      </c>
      <c r="C14" s="209">
        <f>DATA!B167</f>
        <v>0</v>
      </c>
      <c r="D14" s="241">
        <f>HLOOKUP(A14,DATA!$E$5:$P$25,20,FALSE)</f>
        <v>0</v>
      </c>
      <c r="E14" s="210">
        <f>VLOOKUP(B14,BILL!$A$5:$X$16,22,FALSE)</f>
        <v>0</v>
      </c>
      <c r="F14" s="117"/>
      <c r="G14" s="117"/>
      <c r="H14" s="24"/>
      <c r="I14" s="65">
        <f t="shared" si="0"/>
        <v>4</v>
      </c>
      <c r="J14" s="246">
        <f t="shared" si="1"/>
        <v>0</v>
      </c>
      <c r="K14" s="244">
        <f t="shared" si="2"/>
        <v>0</v>
      </c>
      <c r="L14" s="238">
        <f t="shared" si="3"/>
        <v>0</v>
      </c>
      <c r="M14" s="311">
        <f t="shared" si="4"/>
        <v>0</v>
      </c>
      <c r="N14" s="236"/>
      <c r="O14" s="236"/>
      <c r="P14" s="236"/>
    </row>
    <row r="15" spans="1:16" ht="15" customHeight="1">
      <c r="A15" s="207">
        <v>5</v>
      </c>
      <c r="B15" s="208">
        <f>DATA!F168</f>
        <v>0</v>
      </c>
      <c r="C15" s="209">
        <f>DATA!B168</f>
        <v>0</v>
      </c>
      <c r="D15" s="241">
        <f>HLOOKUP(A15,DATA!$E$5:$P$25,20,FALSE)</f>
        <v>0</v>
      </c>
      <c r="E15" s="210">
        <f>VLOOKUP(B15,BILL!$A$5:$X$16,22,FALSE)</f>
        <v>0</v>
      </c>
      <c r="F15" s="117"/>
      <c r="G15" s="117"/>
      <c r="H15" s="24"/>
      <c r="I15" s="65">
        <f t="shared" si="0"/>
        <v>5</v>
      </c>
      <c r="J15" s="246">
        <f t="shared" si="1"/>
        <v>0</v>
      </c>
      <c r="K15" s="244">
        <f t="shared" si="2"/>
        <v>0</v>
      </c>
      <c r="L15" s="238">
        <f t="shared" si="3"/>
        <v>0</v>
      </c>
      <c r="M15" s="311">
        <f t="shared" si="4"/>
        <v>0</v>
      </c>
      <c r="N15" s="236"/>
      <c r="O15" s="236"/>
      <c r="P15" s="236"/>
    </row>
    <row r="16" spans="1:16" ht="15" customHeight="1">
      <c r="A16" s="207">
        <v>6</v>
      </c>
      <c r="B16" s="208">
        <f>DATA!F169</f>
        <v>0</v>
      </c>
      <c r="C16" s="209">
        <f>DATA!B169</f>
        <v>0</v>
      </c>
      <c r="D16" s="241">
        <f>HLOOKUP(A16,DATA!$E$5:$P$25,20,FALSE)</f>
        <v>0</v>
      </c>
      <c r="E16" s="210">
        <f>VLOOKUP(B16,BILL!$A$5:$X$16,22,FALSE)</f>
        <v>0</v>
      </c>
      <c r="F16" s="117"/>
      <c r="G16" s="117"/>
      <c r="H16" s="24"/>
      <c r="I16" s="65">
        <f t="shared" si="0"/>
        <v>6</v>
      </c>
      <c r="J16" s="246">
        <f t="shared" si="1"/>
        <v>0</v>
      </c>
      <c r="K16" s="244">
        <f t="shared" si="2"/>
        <v>0</v>
      </c>
      <c r="L16" s="238">
        <f t="shared" si="3"/>
        <v>0</v>
      </c>
      <c r="M16" s="311">
        <f t="shared" si="4"/>
        <v>0</v>
      </c>
      <c r="N16" s="236"/>
      <c r="O16" s="236"/>
      <c r="P16" s="236"/>
    </row>
    <row r="17" spans="1:16" ht="15" customHeight="1">
      <c r="A17" s="207">
        <v>7</v>
      </c>
      <c r="B17" s="208">
        <f>DATA!F170</f>
        <v>0</v>
      </c>
      <c r="C17" s="209">
        <f>DATA!B170</f>
        <v>0</v>
      </c>
      <c r="D17" s="241">
        <f>HLOOKUP(A17,DATA!$E$5:$P$25,20,FALSE)</f>
        <v>0</v>
      </c>
      <c r="E17" s="210">
        <f>VLOOKUP(B17,BILL!$A$5:$X$16,22,FALSE)</f>
        <v>0</v>
      </c>
      <c r="F17" s="117"/>
      <c r="G17" s="117"/>
      <c r="H17" s="24"/>
      <c r="I17" s="65">
        <f t="shared" si="0"/>
        <v>7</v>
      </c>
      <c r="J17" s="246">
        <f t="shared" si="1"/>
        <v>0</v>
      </c>
      <c r="K17" s="244">
        <f t="shared" si="2"/>
        <v>0</v>
      </c>
      <c r="L17" s="238">
        <f t="shared" si="3"/>
        <v>0</v>
      </c>
      <c r="M17" s="311">
        <f t="shared" si="4"/>
        <v>0</v>
      </c>
      <c r="N17" s="236"/>
      <c r="O17" s="236"/>
      <c r="P17" s="236"/>
    </row>
    <row r="18" spans="1:16" ht="15" customHeight="1">
      <c r="A18" s="207">
        <v>8</v>
      </c>
      <c r="B18" s="208">
        <f>DATA!F171</f>
        <v>0</v>
      </c>
      <c r="C18" s="209">
        <f>DATA!B171</f>
        <v>0</v>
      </c>
      <c r="D18" s="241">
        <f>HLOOKUP(A18,DATA!$E$5:$P$25,20,FALSE)</f>
        <v>0</v>
      </c>
      <c r="E18" s="210">
        <f>VLOOKUP(B18,BILL!$A$5:$X$16,22,FALSE)</f>
        <v>0</v>
      </c>
      <c r="F18" s="117"/>
      <c r="G18" s="117"/>
      <c r="H18" s="24"/>
      <c r="I18" s="65">
        <f t="shared" si="0"/>
        <v>8</v>
      </c>
      <c r="J18" s="246">
        <f t="shared" si="1"/>
        <v>0</v>
      </c>
      <c r="K18" s="244">
        <f t="shared" si="2"/>
        <v>0</v>
      </c>
      <c r="L18" s="238">
        <f t="shared" si="3"/>
        <v>0</v>
      </c>
      <c r="M18" s="311">
        <f t="shared" si="4"/>
        <v>0</v>
      </c>
      <c r="N18" s="236"/>
      <c r="O18" s="236"/>
      <c r="P18" s="236"/>
    </row>
    <row r="19" spans="1:16" ht="15" customHeight="1">
      <c r="A19" s="207">
        <v>9</v>
      </c>
      <c r="B19" s="208">
        <f>DATA!F172</f>
        <v>0</v>
      </c>
      <c r="C19" s="209">
        <f>DATA!B172</f>
        <v>0</v>
      </c>
      <c r="D19" s="241">
        <f>HLOOKUP(A19,DATA!$E$5:$P$25,20,FALSE)</f>
        <v>0</v>
      </c>
      <c r="E19" s="210">
        <f>VLOOKUP(B19,BILL!$A$5:$X$16,22,FALSE)</f>
        <v>0</v>
      </c>
      <c r="F19" s="117"/>
      <c r="G19" s="117"/>
      <c r="H19" s="24"/>
      <c r="I19" s="65">
        <f t="shared" si="0"/>
        <v>9</v>
      </c>
      <c r="J19" s="246">
        <f t="shared" si="1"/>
        <v>0</v>
      </c>
      <c r="K19" s="244">
        <f t="shared" si="2"/>
        <v>0</v>
      </c>
      <c r="L19" s="238">
        <f t="shared" si="3"/>
        <v>0</v>
      </c>
      <c r="M19" s="311">
        <f t="shared" si="4"/>
        <v>0</v>
      </c>
      <c r="N19" s="236"/>
      <c r="O19" s="236"/>
      <c r="P19" s="236"/>
    </row>
    <row r="20" spans="1:16" ht="15" customHeight="1">
      <c r="A20" s="207">
        <v>10</v>
      </c>
      <c r="B20" s="208">
        <f>DATA!F173</f>
        <v>0</v>
      </c>
      <c r="C20" s="209">
        <f>DATA!B173</f>
        <v>0</v>
      </c>
      <c r="D20" s="241">
        <f>HLOOKUP(A20,DATA!$E$5:$P$25,20,FALSE)</f>
        <v>0</v>
      </c>
      <c r="E20" s="210">
        <f>VLOOKUP(B20,BILL!$A$5:$X$16,22,FALSE)</f>
        <v>0</v>
      </c>
      <c r="F20" s="117"/>
      <c r="G20" s="117"/>
      <c r="H20" s="24"/>
      <c r="I20" s="65">
        <f t="shared" si="0"/>
        <v>10</v>
      </c>
      <c r="J20" s="246">
        <f t="shared" si="1"/>
        <v>0</v>
      </c>
      <c r="K20" s="244">
        <f t="shared" si="2"/>
        <v>0</v>
      </c>
      <c r="L20" s="238">
        <f t="shared" si="3"/>
        <v>0</v>
      </c>
      <c r="M20" s="311">
        <f t="shared" si="4"/>
        <v>0</v>
      </c>
      <c r="N20" s="236"/>
      <c r="O20" s="236"/>
      <c r="P20" s="236"/>
    </row>
    <row r="21" spans="1:16" ht="15" customHeight="1">
      <c r="A21" s="207">
        <v>11</v>
      </c>
      <c r="B21" s="208">
        <f>DATA!F174</f>
        <v>0</v>
      </c>
      <c r="C21" s="209">
        <f>DATA!B174</f>
        <v>0</v>
      </c>
      <c r="D21" s="241">
        <f>HLOOKUP(A21,DATA!$E$5:$P$25,20,FALSE)</f>
        <v>0</v>
      </c>
      <c r="E21" s="210">
        <f>VLOOKUP(B21,BILL!$A$5:$X$16,22,FALSE)</f>
        <v>0</v>
      </c>
      <c r="F21" s="117"/>
      <c r="G21" s="117"/>
      <c r="H21" s="24"/>
      <c r="I21" s="65">
        <f t="shared" si="0"/>
        <v>11</v>
      </c>
      <c r="J21" s="246">
        <f t="shared" si="1"/>
        <v>0</v>
      </c>
      <c r="K21" s="244">
        <f t="shared" si="2"/>
        <v>0</v>
      </c>
      <c r="L21" s="238">
        <f t="shared" si="3"/>
        <v>0</v>
      </c>
      <c r="M21" s="311">
        <f t="shared" si="4"/>
        <v>0</v>
      </c>
      <c r="N21" s="236"/>
      <c r="O21" s="236"/>
      <c r="P21" s="236"/>
    </row>
    <row r="22" spans="1:16" ht="15" customHeight="1">
      <c r="A22" s="207">
        <v>12</v>
      </c>
      <c r="B22" s="208">
        <f>DATA!F175</f>
        <v>0</v>
      </c>
      <c r="C22" s="209">
        <f>DATA!B175</f>
        <v>0</v>
      </c>
      <c r="D22" s="241">
        <f>HLOOKUP(A22,DATA!$E$5:$P$25,20,FALSE)</f>
        <v>0</v>
      </c>
      <c r="E22" s="210">
        <f>VLOOKUP(B22,BILL!$A$5:$X$16,22,FALSE)</f>
        <v>0</v>
      </c>
      <c r="F22" s="117"/>
      <c r="G22" s="117"/>
      <c r="H22" s="24"/>
      <c r="I22" s="65">
        <f t="shared" si="0"/>
        <v>12</v>
      </c>
      <c r="J22" s="246">
        <f t="shared" si="1"/>
        <v>0</v>
      </c>
      <c r="K22" s="244">
        <f t="shared" si="2"/>
        <v>0</v>
      </c>
      <c r="L22" s="238">
        <f t="shared" si="3"/>
        <v>0</v>
      </c>
      <c r="M22" s="311">
        <f t="shared" si="4"/>
        <v>0</v>
      </c>
      <c r="N22" s="236"/>
      <c r="O22" s="236"/>
      <c r="P22" s="236"/>
    </row>
    <row r="23" spans="1:16" ht="18" customHeight="1">
      <c r="A23" s="495" t="s">
        <v>23</v>
      </c>
      <c r="B23" s="496"/>
      <c r="C23" s="496"/>
      <c r="D23" s="497"/>
      <c r="E23" s="210">
        <f>BILL!V17</f>
        <v>4000</v>
      </c>
      <c r="F23" s="117"/>
      <c r="G23" s="117"/>
      <c r="I23" s="507" t="str">
        <f>A23</f>
        <v>TOTAL</v>
      </c>
      <c r="J23" s="508"/>
      <c r="K23" s="508"/>
      <c r="L23" s="509"/>
      <c r="M23" s="315">
        <f>E23</f>
        <v>4000</v>
      </c>
      <c r="N23" s="236"/>
      <c r="O23" s="236"/>
      <c r="P23" s="236"/>
    </row>
    <row r="24" spans="1:16" ht="21" customHeight="1">
      <c r="A24" s="494" t="str">
        <f>A23&amp;" in words : "&amp;DATA!C189</f>
        <v>TOTAL in words :  FOUR  THOUSAND ONLY.</v>
      </c>
      <c r="B24" s="494"/>
      <c r="C24" s="494"/>
      <c r="D24" s="494"/>
      <c r="E24" s="494"/>
      <c r="F24" s="117"/>
      <c r="G24" s="117"/>
      <c r="I24" s="506" t="str">
        <f>A24</f>
        <v>TOTAL in words :  FOUR  THOUSAND ONLY.</v>
      </c>
      <c r="J24" s="506"/>
      <c r="K24" s="506"/>
      <c r="L24" s="506"/>
      <c r="M24" s="506"/>
      <c r="N24" s="236"/>
      <c r="O24" s="236"/>
      <c r="P24" s="236"/>
    </row>
    <row r="25" spans="1:13" ht="12" customHeight="1">
      <c r="A25" s="312"/>
      <c r="B25" s="312"/>
      <c r="C25" s="312"/>
      <c r="D25" s="312"/>
      <c r="E25" s="312"/>
      <c r="F25" s="118"/>
      <c r="G25" s="118"/>
      <c r="I25" s="313"/>
      <c r="J25" s="313"/>
      <c r="K25" s="313"/>
      <c r="L25" s="313"/>
      <c r="M25" s="313"/>
    </row>
    <row r="26" spans="6:7" ht="28.5" customHeight="1">
      <c r="F26" s="115"/>
      <c r="G26" s="115"/>
    </row>
    <row r="27" spans="1:15" ht="24.75" customHeight="1">
      <c r="A27" s="3" t="s">
        <v>28</v>
      </c>
      <c r="B27" s="2"/>
      <c r="C27" s="26"/>
      <c r="D27" s="491" t="s">
        <v>29</v>
      </c>
      <c r="E27" s="491"/>
      <c r="F27" s="20"/>
      <c r="G27" s="20"/>
      <c r="I27" s="505" t="str">
        <f>A27</f>
        <v>DDO Signature:</v>
      </c>
      <c r="J27" s="505"/>
      <c r="K27" s="245"/>
      <c r="L27" s="505" t="str">
        <f>D27</f>
        <v>Signature of TO.</v>
      </c>
      <c r="M27" s="505"/>
      <c r="N27" s="25"/>
      <c r="O27" s="25"/>
    </row>
    <row r="28" spans="1:13" ht="24.75" customHeight="1">
      <c r="A28" s="491" t="s">
        <v>30</v>
      </c>
      <c r="B28" s="492"/>
      <c r="C28" s="26"/>
      <c r="D28" s="491" t="s">
        <v>30</v>
      </c>
      <c r="E28" s="491"/>
      <c r="F28" s="20"/>
      <c r="G28" s="20"/>
      <c r="I28" s="504" t="str">
        <f>A28</f>
        <v>(with seal)</v>
      </c>
      <c r="J28" s="504"/>
      <c r="L28" s="504" t="str">
        <f>D28</f>
        <v>(with seal)</v>
      </c>
      <c r="M28" s="504"/>
    </row>
    <row r="32" ht="12.75">
      <c r="K32" s="240"/>
    </row>
  </sheetData>
  <sheetProtection/>
  <mergeCells count="24">
    <mergeCell ref="I6:N6"/>
    <mergeCell ref="I28:J28"/>
    <mergeCell ref="L28:M28"/>
    <mergeCell ref="L27:M27"/>
    <mergeCell ref="I27:J27"/>
    <mergeCell ref="I24:M24"/>
    <mergeCell ref="I23:L23"/>
    <mergeCell ref="A2:E2"/>
    <mergeCell ref="A6:E6"/>
    <mergeCell ref="I1:J1"/>
    <mergeCell ref="D1:E1"/>
    <mergeCell ref="A1:B1"/>
    <mergeCell ref="L1:N1"/>
    <mergeCell ref="I2:N2"/>
    <mergeCell ref="I3:N3"/>
    <mergeCell ref="I4:N4"/>
    <mergeCell ref="I5:N5"/>
    <mergeCell ref="A28:B28"/>
    <mergeCell ref="D28:E28"/>
    <mergeCell ref="D27:E27"/>
    <mergeCell ref="A3:E3"/>
    <mergeCell ref="A4:E4"/>
    <mergeCell ref="A24:E24"/>
    <mergeCell ref="A23:D23"/>
  </mergeCells>
  <conditionalFormatting sqref="A11:E22">
    <cfRule type="cellIs" priority="2" dxfId="0" operator="equal" stopIfTrue="1">
      <formula>0</formula>
    </cfRule>
  </conditionalFormatting>
  <conditionalFormatting sqref="I10:M22">
    <cfRule type="cellIs" priority="1" dxfId="0" operator="equal" stopIfTrue="1">
      <formula>0</formula>
    </cfRule>
  </conditionalFormatting>
  <printOptions horizontalCentered="1"/>
  <pageMargins left="0.69" right="0.69" top="0.73" bottom="0.69" header="0.57" footer="0.5"/>
  <pageSetup horizontalDpi="180" verticalDpi="18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22">
      <selection activeCell="G21" sqref="G21"/>
    </sheetView>
  </sheetViews>
  <sheetFormatPr defaultColWidth="9.140625" defaultRowHeight="12.75"/>
  <cols>
    <col min="1" max="1" width="5.00390625" style="0" customWidth="1"/>
    <col min="2" max="2" width="9.7109375" style="0" customWidth="1"/>
    <col min="3" max="3" width="19.28125" style="0" customWidth="1"/>
    <col min="4" max="4" width="13.8515625" style="0" customWidth="1"/>
    <col min="5" max="5" width="14.00390625" style="0" customWidth="1"/>
    <col min="6" max="6" width="5.57421875" style="0" customWidth="1"/>
    <col min="7" max="7" width="10.421875" style="0" customWidth="1"/>
    <col min="8" max="8" width="8.421875" style="0" customWidth="1"/>
    <col min="9" max="9" width="10.140625" style="0" customWidth="1"/>
    <col min="10" max="10" width="7.8515625" style="0" customWidth="1"/>
    <col min="11" max="11" width="11.00390625" style="0" customWidth="1"/>
    <col min="13" max="13" width="12.7109375" style="0" customWidth="1"/>
  </cols>
  <sheetData>
    <row r="1" spans="1:12" ht="7.5" customHeight="1">
      <c r="A1" s="77"/>
      <c r="B1" s="77"/>
      <c r="C1" s="77"/>
      <c r="D1" s="77"/>
      <c r="E1" s="77"/>
      <c r="F1" s="77"/>
      <c r="G1" s="77"/>
      <c r="H1" s="77"/>
      <c r="I1" s="77"/>
      <c r="K1" s="8"/>
      <c r="L1" s="2"/>
    </row>
    <row r="2" spans="1:12" ht="16.5" customHeight="1">
      <c r="A2" s="513" t="str">
        <f>CONCATENATE("PROCEEDINGS OF THE HEAD MASTER, ",DATA!I35)</f>
        <v>PROCEEDINGS OF THE HEAD MASTER, Z.P.H.S, MANGINAPUDI</v>
      </c>
      <c r="B2" s="513"/>
      <c r="C2" s="513"/>
      <c r="D2" s="513"/>
      <c r="E2" s="513"/>
      <c r="F2" s="513"/>
      <c r="G2" s="513"/>
      <c r="H2" s="513"/>
      <c r="I2" s="513"/>
      <c r="K2" s="8"/>
      <c r="L2" s="2"/>
    </row>
    <row r="3" spans="1:12" ht="17.25" customHeight="1">
      <c r="A3" s="512" t="str">
        <f>CONCATENATE("PRESENT : ",DATA!E32,", ",DATA!E33)</f>
        <v>PRESENT : T.V.SUBBA RAO, B.Com.,B.Ed.</v>
      </c>
      <c r="B3" s="512"/>
      <c r="C3" s="512"/>
      <c r="D3" s="512"/>
      <c r="E3" s="512"/>
      <c r="F3" s="512"/>
      <c r="G3" s="512"/>
      <c r="H3" s="512"/>
      <c r="I3" s="512"/>
      <c r="K3" s="8"/>
      <c r="L3" s="2"/>
    </row>
    <row r="4" spans="1:12" ht="20.25" customHeight="1">
      <c r="A4" s="79"/>
      <c r="B4" s="79"/>
      <c r="C4" s="79"/>
      <c r="D4" s="80"/>
      <c r="E4" s="80"/>
      <c r="F4" s="80"/>
      <c r="G4" s="80"/>
      <c r="H4" s="80"/>
      <c r="I4" s="77"/>
      <c r="K4" s="8"/>
      <c r="L4" s="2"/>
    </row>
    <row r="5" spans="1:12" ht="12.75">
      <c r="A5" s="81" t="str">
        <f>"RC NO :  "&amp;DATA!E34</f>
        <v>RC NO :  EDN.CON / 2013 / 1</v>
      </c>
      <c r="B5" s="82"/>
      <c r="C5" s="77"/>
      <c r="D5" s="77"/>
      <c r="E5" s="77"/>
      <c r="G5" s="83" t="s">
        <v>151</v>
      </c>
      <c r="H5" s="516" t="str">
        <f>"  "&amp;TEXT(DATA!E35,"dd-mmm-yyyy")</f>
        <v>  05-Jan-2014</v>
      </c>
      <c r="I5" s="516"/>
      <c r="K5" s="8"/>
      <c r="L5" s="2"/>
    </row>
    <row r="6" spans="1:12" ht="18.75" customHeight="1">
      <c r="A6" s="77"/>
      <c r="B6" s="77"/>
      <c r="C6" s="77"/>
      <c r="D6" s="77"/>
      <c r="E6" s="77"/>
      <c r="F6" s="77"/>
      <c r="G6" s="77"/>
      <c r="H6" s="77"/>
      <c r="I6" s="77"/>
      <c r="K6" s="8"/>
      <c r="L6" s="2"/>
    </row>
    <row r="7" spans="1:12" ht="50.25" customHeight="1">
      <c r="A7" s="84"/>
      <c r="B7" s="304" t="s">
        <v>152</v>
      </c>
      <c r="C7" s="515" t="str">
        <f>"Allowances - Educational Concession to teaching staff of "&amp;HLOOKUP(DATA!C5,DATA!E5:P25,5,FALSE)&amp;", "&amp;HLOOKUP(DATA!C5,DATA!E5:P25,6,FALSE)&amp;" - Sri / Smt "&amp;HLOOKUP(DATA!C5,DATA!E5:P25,2,FALSE)&amp;", "&amp;HLOOKUP(DATA!C5,DATA!E5:P25,4,FALSE)&amp;"- Sanctioned Rs."&amp;VLOOKUP(DATA!C5,BILL!B5:D16,3,FALSE)&amp;" for the Academic Year/s  "&amp;DATA!K29&amp;" - Orders issued - Regarding."</f>
        <v>Allowances - Educational Concession to teaching staff of Z. P. H. SCHOOL, MANGINAPUDI - Sri / Smt G.SRINIVASULU, S.A(P.S)- Sanctioned Rs.2000 for the Academic Year/s  2012-13 - Orders issued - Regarding.</v>
      </c>
      <c r="D7" s="515"/>
      <c r="E7" s="515"/>
      <c r="F7" s="515"/>
      <c r="G7" s="515"/>
      <c r="H7" s="515"/>
      <c r="I7" s="515"/>
      <c r="K7" s="8"/>
      <c r="L7" s="2"/>
    </row>
    <row r="8" spans="1:12" ht="15" customHeight="1">
      <c r="A8" s="86"/>
      <c r="B8" s="87"/>
      <c r="C8" s="303"/>
      <c r="D8" s="303"/>
      <c r="E8" s="303"/>
      <c r="F8" s="303"/>
      <c r="G8" s="303"/>
      <c r="H8" s="303"/>
      <c r="I8" s="303"/>
      <c r="K8" s="8"/>
      <c r="L8" s="2"/>
    </row>
    <row r="9" spans="1:12" ht="15" customHeight="1">
      <c r="A9" s="86"/>
      <c r="B9" s="85" t="s">
        <v>153</v>
      </c>
      <c r="C9" s="302" t="s">
        <v>426</v>
      </c>
      <c r="D9" s="302"/>
      <c r="E9" s="302"/>
      <c r="F9" s="302"/>
      <c r="G9" s="302"/>
      <c r="H9" s="302"/>
      <c r="I9" s="295"/>
      <c r="K9" s="8"/>
      <c r="L9" s="2"/>
    </row>
    <row r="10" spans="1:12" ht="15" customHeight="1">
      <c r="A10" s="86"/>
      <c r="B10" s="87"/>
      <c r="C10" s="302" t="s">
        <v>427</v>
      </c>
      <c r="D10" s="302"/>
      <c r="E10" s="302"/>
      <c r="F10" s="302"/>
      <c r="G10" s="302"/>
      <c r="H10" s="302"/>
      <c r="I10" s="295"/>
      <c r="K10" s="8"/>
      <c r="L10" s="2"/>
    </row>
    <row r="11" spans="1:12" ht="15" customHeight="1">
      <c r="A11" s="86"/>
      <c r="B11" s="87"/>
      <c r="C11" s="302" t="s">
        <v>428</v>
      </c>
      <c r="D11" s="302"/>
      <c r="E11" s="302"/>
      <c r="F11" s="302"/>
      <c r="G11" s="302"/>
      <c r="H11" s="302"/>
      <c r="I11" s="295"/>
      <c r="K11" s="8"/>
      <c r="L11" s="109"/>
    </row>
    <row r="12" spans="1:12" ht="15" customHeight="1">
      <c r="A12" s="86"/>
      <c r="B12" s="87"/>
      <c r="C12" s="302" t="s">
        <v>429</v>
      </c>
      <c r="D12" s="302"/>
      <c r="E12" s="302"/>
      <c r="F12" s="302"/>
      <c r="G12" s="302"/>
      <c r="H12" s="302"/>
      <c r="I12" s="295"/>
      <c r="K12" s="8"/>
      <c r="L12" s="2"/>
    </row>
    <row r="13" spans="1:12" ht="9.75" customHeight="1">
      <c r="A13" s="86"/>
      <c r="B13" s="87"/>
      <c r="C13" s="302"/>
      <c r="D13" s="302"/>
      <c r="E13" s="302"/>
      <c r="F13" s="302"/>
      <c r="G13" s="302"/>
      <c r="H13" s="302"/>
      <c r="I13" s="295"/>
      <c r="K13" s="8"/>
      <c r="L13" s="2"/>
    </row>
    <row r="14" spans="1:12" ht="15" customHeight="1">
      <c r="A14" s="86"/>
      <c r="B14" s="87"/>
      <c r="C14" s="302"/>
      <c r="D14" s="518" t="s">
        <v>431</v>
      </c>
      <c r="E14" s="519"/>
      <c r="F14" s="519"/>
      <c r="G14" s="302"/>
      <c r="H14" s="302"/>
      <c r="I14" s="295"/>
      <c r="K14" s="8"/>
      <c r="L14" s="2"/>
    </row>
    <row r="15" spans="1:12" ht="14.25" customHeight="1">
      <c r="A15" s="86"/>
      <c r="B15" s="87"/>
      <c r="C15" s="302"/>
      <c r="D15" s="302"/>
      <c r="E15" s="302"/>
      <c r="F15" s="302"/>
      <c r="G15" s="302"/>
      <c r="H15" s="302"/>
      <c r="I15" s="295"/>
      <c r="K15" s="8"/>
      <c r="L15" s="2"/>
    </row>
    <row r="16" spans="1:12" ht="12.75">
      <c r="A16" s="86"/>
      <c r="B16" s="88" t="s">
        <v>154</v>
      </c>
      <c r="C16" s="86"/>
      <c r="D16" s="86"/>
      <c r="E16" s="86"/>
      <c r="F16" s="86"/>
      <c r="G16" s="86"/>
      <c r="H16" s="86"/>
      <c r="I16" s="77"/>
      <c r="K16" s="8"/>
      <c r="L16" s="2"/>
    </row>
    <row r="17" spans="1:12" ht="12.75">
      <c r="A17" s="86"/>
      <c r="B17" s="85"/>
      <c r="C17" s="86"/>
      <c r="D17" s="86"/>
      <c r="E17" s="86"/>
      <c r="F17" s="86"/>
      <c r="G17" s="86"/>
      <c r="H17" s="86"/>
      <c r="I17" s="77"/>
      <c r="K17" s="8"/>
      <c r="L17" s="2"/>
    </row>
    <row r="18" spans="1:12" ht="122.25" customHeight="1">
      <c r="A18" s="514" t="str">
        <f>CONCATENATE("                         In the reference cited 1 above Govt. issued orders for grant of Education Concession of Rs.1000/- per two children for Non-Gazetted and class-IV employees of State Govt. who studied in Schools Recognized by State Govt."&amp;" In the reference cited above Sri/smt "&amp;HLOOKUP(DATA!C5,DATA!E5:P25,2,FALSE)&amp;", "&amp;HLOOKUP(DATA!C5,DATA!E5:P25,4,FALSE)&amp;", "&amp;HLOOKUP(DATA!C5,DATA!E5:P25,5,FALSE)&amp;", "&amp;HLOOKUP(DATA!C5,DATA!E5:P25,6,FALSE)&amp;" applied for Education Concession for his / her children for Academic years "&amp;DATA!K29&amp;". After careful consideration of his / her application it is hereby accorded for sanction of Rs."&amp;VLOOKUP(DATA!C5,BILL!B5:D16,3,FALSE)&amp;" towards education concession as shown in the annexure.")</f>
        <v>                         In the reference cited 1 above Govt. issued orders for grant of Education Concession of Rs.1000/- per two children for Non-Gazetted and class-IV employees of State Govt. who studied in Schools Recognized by State Govt. In the reference cited above Sri/smt G.SRINIVASULU, S.A(P.S), Z. P. H. SCHOOL, MANGINAPUDI applied for Education Concession for his / her children for Academic years 2012-13. After careful consideration of his / her application it is hereby accorded for sanction of Rs.2000 towards education concession as shown in the annexure.</v>
      </c>
      <c r="B18" s="514"/>
      <c r="C18" s="514"/>
      <c r="D18" s="514"/>
      <c r="E18" s="514"/>
      <c r="F18" s="514"/>
      <c r="G18" s="514"/>
      <c r="H18" s="514"/>
      <c r="I18" s="514"/>
      <c r="K18" s="8"/>
      <c r="L18" s="2"/>
    </row>
    <row r="19" spans="1:12" ht="18.75" customHeight="1">
      <c r="A19" s="511" t="s">
        <v>157</v>
      </c>
      <c r="B19" s="511"/>
      <c r="C19" s="511"/>
      <c r="D19" s="511"/>
      <c r="E19" s="511"/>
      <c r="F19" s="511"/>
      <c r="G19" s="511"/>
      <c r="H19" s="511"/>
      <c r="I19" s="511"/>
      <c r="K19" s="8"/>
      <c r="L19" s="2"/>
    </row>
    <row r="20" spans="1:12" ht="54" customHeight="1">
      <c r="A20" s="63" t="s">
        <v>283</v>
      </c>
      <c r="B20" s="63" t="s">
        <v>432</v>
      </c>
      <c r="C20" s="63" t="s">
        <v>433</v>
      </c>
      <c r="D20" s="63" t="s">
        <v>434</v>
      </c>
      <c r="E20" s="63" t="s">
        <v>325</v>
      </c>
      <c r="F20" s="63" t="s">
        <v>435</v>
      </c>
      <c r="G20" s="63" t="s">
        <v>436</v>
      </c>
      <c r="H20" s="63" t="s">
        <v>437</v>
      </c>
      <c r="I20" s="63" t="s">
        <v>23</v>
      </c>
      <c r="K20" s="8"/>
      <c r="L20" s="2"/>
    </row>
    <row r="21" spans="1:12" ht="54" customHeight="1">
      <c r="A21" s="510">
        <v>1</v>
      </c>
      <c r="B21" s="520" t="str">
        <f>VLOOKUP(DATA!C5,DATA!A164:F175,6,FALSE)</f>
        <v>0725419</v>
      </c>
      <c r="C21" s="510" t="str">
        <f>HLOOKUP(DATA!C5,DATA!E5:P25,2,FALSE)&amp;", "&amp;HLOOKUP(DATA!C5,DATA!E5:P25,4,FALSE)&amp;", "&amp;HLOOKUP(DATA!C5,DATA!E5:P25,5,FALSE)&amp;", "&amp;HLOOKUP(DATA!C5,DATA!E5:P25,6,FALSE)</f>
        <v>G.SRINIVASULU, S.A(P.S), Z. P. H. SCHOOL, MANGINAPUDI</v>
      </c>
      <c r="D21" s="63" t="str">
        <f>HLOOKUP(DATA!C5,DATA!E5:P25,8,FALSE)</f>
        <v>G.SRI SPANDANA</v>
      </c>
      <c r="E21" s="63" t="str">
        <f>HLOOKUP(DATA!C5,DATA!E5:P25,12,FALSE)</f>
        <v>LAKSHMI HIGH SCHOOL</v>
      </c>
      <c r="F21" s="63" t="str">
        <f>VLOOKUP(HLOOKUP(DATA!C5,DATA!E5:P25,10,FALSE),DATA!B101:C110,2,FALSE)</f>
        <v>VIII</v>
      </c>
      <c r="G21" s="63" t="str">
        <f>DATA!K29</f>
        <v>2012-13</v>
      </c>
      <c r="H21" s="63">
        <f>IF(HLOOKUP(DATA!C5,DATA!E5:P25,13,FALSE)="",VLOOKUP(DATA!C5,BILL!B5:D16,3,FALSE),VLOOKUP(DATA!C5,BILL!B5:D16,3,FALSE)/2)</f>
        <v>1000</v>
      </c>
      <c r="I21" s="510">
        <f>H21+H22</f>
        <v>2000</v>
      </c>
      <c r="K21" s="8"/>
      <c r="L21" s="2"/>
    </row>
    <row r="22" spans="1:12" ht="54" customHeight="1">
      <c r="A22" s="510"/>
      <c r="B22" s="510"/>
      <c r="C22" s="510"/>
      <c r="D22" s="63" t="str">
        <f>HLOOKUP(DATA!C5,DATA!E5:P25,13,FALSE)</f>
        <v>G.SRI SRUJANA</v>
      </c>
      <c r="E22" s="63" t="str">
        <f>HLOOKUP(DATA!C5,DATA!E5:P25,18,FALSE)</f>
        <v>LAKSHMI HIGH SCHOOL</v>
      </c>
      <c r="F22" s="63" t="str">
        <f>VLOOKUP(HLOOKUP(DATA!C5,DATA!E5:P25,15,FALSE),DATA!B101:C110,2,FALSE)</f>
        <v>II</v>
      </c>
      <c r="G22" s="63" t="str">
        <f>DATA!K29</f>
        <v>2012-13</v>
      </c>
      <c r="H22" s="63">
        <f>IF(HLOOKUP(DATA!C5,DATA!E5:P25,13,FALSE)="",VLOOKUP(DATA!C5,BILL!B5:D16,3,FALSE),VLOOKUP(DATA!C5,BILL!B5:D16,3,FALSE)/2)</f>
        <v>1000</v>
      </c>
      <c r="I22" s="510"/>
      <c r="K22" s="8"/>
      <c r="L22" s="2"/>
    </row>
    <row r="23" spans="1:13" s="2" customFormat="1" ht="11.25" customHeight="1">
      <c r="A23" s="305"/>
      <c r="B23" s="305"/>
      <c r="C23" s="305"/>
      <c r="D23" s="305"/>
      <c r="E23" s="305"/>
      <c r="F23" s="305"/>
      <c r="G23" s="305"/>
      <c r="H23" s="305"/>
      <c r="I23" s="305"/>
      <c r="K23" s="99"/>
      <c r="L23" s="107"/>
      <c r="M23" s="107"/>
    </row>
    <row r="24" spans="1:13" s="8" customFormat="1" ht="33.75" customHeight="1">
      <c r="A24" s="517" t="s">
        <v>430</v>
      </c>
      <c r="B24" s="517"/>
      <c r="C24" s="517"/>
      <c r="D24" s="517"/>
      <c r="E24" s="517"/>
      <c r="F24" s="517"/>
      <c r="G24" s="517"/>
      <c r="H24" s="517"/>
      <c r="I24" s="517"/>
      <c r="K24" s="99"/>
      <c r="L24" s="112"/>
      <c r="M24" s="112"/>
    </row>
    <row r="25" spans="1:15" ht="32.25" customHeight="1">
      <c r="A25" s="86"/>
      <c r="B25" s="89"/>
      <c r="C25" s="89"/>
      <c r="D25" s="89"/>
      <c r="E25" s="89"/>
      <c r="F25" s="89"/>
      <c r="G25" s="89"/>
      <c r="H25" s="89"/>
      <c r="I25" s="89"/>
      <c r="K25" s="71"/>
      <c r="L25" s="2"/>
      <c r="M25" s="71"/>
      <c r="N25" s="2"/>
      <c r="O25" s="72"/>
    </row>
    <row r="26" spans="1:15" ht="19.5" customHeight="1">
      <c r="A26" s="77"/>
      <c r="B26" s="77"/>
      <c r="C26" s="77"/>
      <c r="D26" s="77"/>
      <c r="E26" s="77"/>
      <c r="F26" s="77"/>
      <c r="G26" s="77"/>
      <c r="H26" s="77"/>
      <c r="I26" s="77"/>
      <c r="K26" s="71"/>
      <c r="L26" s="2"/>
      <c r="M26" s="71"/>
      <c r="N26" s="2"/>
      <c r="O26" s="72"/>
    </row>
    <row r="27" spans="1:15" ht="12.75">
      <c r="A27" s="90" t="s">
        <v>155</v>
      </c>
      <c r="B27" s="77"/>
      <c r="C27" s="77"/>
      <c r="D27" s="77"/>
      <c r="E27" s="468" t="str">
        <f>DATA!I27</f>
        <v>GAZ. HEAD MASTER</v>
      </c>
      <c r="F27" s="468"/>
      <c r="G27" s="468"/>
      <c r="H27" s="468"/>
      <c r="I27" s="77"/>
      <c r="K27" s="71"/>
      <c r="L27" s="2"/>
      <c r="M27" s="71"/>
      <c r="N27" s="2"/>
      <c r="O27" s="67"/>
    </row>
    <row r="28" spans="1:15" ht="12.75">
      <c r="A28" s="77">
        <v>1</v>
      </c>
      <c r="B28" s="77" t="s">
        <v>156</v>
      </c>
      <c r="C28" s="77"/>
      <c r="D28" s="77"/>
      <c r="E28" s="468" t="str">
        <f>DATA!I35</f>
        <v>Z.P.H.S, MANGINAPUDI</v>
      </c>
      <c r="F28" s="468"/>
      <c r="G28" s="468"/>
      <c r="H28" s="468"/>
      <c r="I28" s="77"/>
      <c r="K28" s="71"/>
      <c r="L28" s="78"/>
      <c r="M28" s="71"/>
      <c r="N28" s="2"/>
      <c r="O28" s="72"/>
    </row>
    <row r="29" spans="1:12" ht="12.75">
      <c r="A29" s="77">
        <v>2</v>
      </c>
      <c r="B29" s="77" t="str">
        <f>"The office of "&amp;DATA!I35</f>
        <v>The office of Z.P.H.S, MANGINAPUDI</v>
      </c>
      <c r="C29" s="77"/>
      <c r="D29" s="77"/>
      <c r="E29" s="91"/>
      <c r="F29" s="77"/>
      <c r="G29" s="77"/>
      <c r="H29" s="77"/>
      <c r="I29" s="77"/>
      <c r="K29" s="8"/>
      <c r="L29" s="2"/>
    </row>
    <row r="30" spans="1:12" ht="12.75">
      <c r="A30" s="77">
        <v>3</v>
      </c>
      <c r="B30" s="77" t="str">
        <f>"To the "&amp;DATA!G28</f>
        <v>To the STO, DARSI</v>
      </c>
      <c r="C30" s="77"/>
      <c r="D30" s="77"/>
      <c r="E30" s="77"/>
      <c r="F30" s="77"/>
      <c r="G30" s="77"/>
      <c r="H30" s="77"/>
      <c r="I30" s="77"/>
      <c r="K30" s="8"/>
      <c r="L30" s="2"/>
    </row>
    <row r="31" spans="1:12" ht="12.75">
      <c r="A31" s="77"/>
      <c r="B31" s="77"/>
      <c r="C31" s="77"/>
      <c r="D31" s="77"/>
      <c r="E31" s="77"/>
      <c r="F31" s="77"/>
      <c r="G31" s="77"/>
      <c r="H31" s="77"/>
      <c r="I31" s="77"/>
      <c r="K31" s="8"/>
      <c r="L31" s="2"/>
    </row>
    <row r="32" spans="10:18" ht="18">
      <c r="J32" s="272"/>
      <c r="K32" s="272"/>
      <c r="L32" s="272"/>
      <c r="M32" s="272"/>
      <c r="N32" s="70"/>
      <c r="O32" s="70"/>
      <c r="P32" s="69"/>
      <c r="Q32" s="69"/>
      <c r="R32" s="69"/>
    </row>
    <row r="33" spans="1:13" ht="12.75" customHeight="1">
      <c r="A33" s="272"/>
      <c r="B33" s="272"/>
      <c r="C33" s="272"/>
      <c r="D33" s="272"/>
      <c r="E33" s="272"/>
      <c r="F33" s="272"/>
      <c r="G33" s="272"/>
      <c r="H33" s="272"/>
      <c r="I33" s="272"/>
      <c r="J33" s="273"/>
      <c r="K33" s="273"/>
      <c r="L33" s="273"/>
      <c r="M33" s="273"/>
    </row>
    <row r="34" spans="1:13" ht="20.25" customHeight="1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</row>
    <row r="35" spans="1:9" ht="15.75">
      <c r="A35" s="273"/>
      <c r="B35" s="273"/>
      <c r="C35" s="273"/>
      <c r="D35" s="273"/>
      <c r="E35" s="273"/>
      <c r="F35" s="273"/>
      <c r="G35" s="273"/>
      <c r="H35" s="273"/>
      <c r="I35" s="273"/>
    </row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spans="11:14" ht="39.75" customHeight="1">
      <c r="K45" s="8"/>
      <c r="L45" s="68"/>
      <c r="N45" s="2"/>
    </row>
    <row r="46" spans="1:9" ht="39.75" customHeight="1">
      <c r="A46" s="24"/>
      <c r="B46" s="24"/>
      <c r="C46" s="24"/>
      <c r="D46" s="24"/>
      <c r="E46" s="24"/>
      <c r="F46" s="24"/>
      <c r="G46" s="24"/>
      <c r="H46" s="24"/>
      <c r="I46" s="24"/>
    </row>
    <row r="47" spans="11:12" ht="39.75" customHeight="1">
      <c r="K47" s="8"/>
      <c r="L47" s="68"/>
    </row>
    <row r="48" spans="1:12" ht="39.75" customHeight="1">
      <c r="A48" s="24"/>
      <c r="B48" s="24"/>
      <c r="C48" s="24"/>
      <c r="D48" s="24"/>
      <c r="E48" s="24"/>
      <c r="F48" s="24"/>
      <c r="G48" s="24"/>
      <c r="H48" s="24"/>
      <c r="I48" s="24"/>
      <c r="K48" s="8"/>
      <c r="L48" s="68"/>
    </row>
    <row r="49" spans="1:12" ht="12.75">
      <c r="A49" s="24"/>
      <c r="B49" s="24"/>
      <c r="C49" s="24"/>
      <c r="D49" s="24"/>
      <c r="E49" s="24"/>
      <c r="F49" s="24"/>
      <c r="G49" s="24"/>
      <c r="H49" s="24"/>
      <c r="I49" s="24"/>
      <c r="K49" s="64"/>
      <c r="L49" s="68"/>
    </row>
    <row r="50" spans="11:12" ht="12.75">
      <c r="K50" s="8"/>
      <c r="L50" s="68"/>
    </row>
    <row r="51" spans="11:12" ht="12.75">
      <c r="K51" s="8"/>
      <c r="L51" s="68"/>
    </row>
    <row r="52" spans="11:12" ht="12.75">
      <c r="K52" s="8"/>
      <c r="L52" s="68"/>
    </row>
    <row r="53" spans="11:12" ht="12.75">
      <c r="K53" s="8"/>
      <c r="L53" s="68"/>
    </row>
    <row r="54" spans="11:12" ht="12.75">
      <c r="K54" s="8"/>
      <c r="L54" s="68"/>
    </row>
    <row r="55" spans="11:12" ht="12.75">
      <c r="K55" s="8"/>
      <c r="L55" s="68"/>
    </row>
    <row r="56" spans="11:12" ht="12.75">
      <c r="K56" s="8"/>
      <c r="L56" s="68"/>
    </row>
    <row r="57" spans="10:12" ht="12.75">
      <c r="J57" s="77"/>
      <c r="K57" s="8"/>
      <c r="L57" s="68"/>
    </row>
    <row r="58" spans="6:12" ht="12.75">
      <c r="F58" s="77"/>
      <c r="G58" s="77"/>
      <c r="H58" s="77"/>
      <c r="I58" s="77"/>
      <c r="J58" s="77"/>
      <c r="K58" s="8"/>
      <c r="L58" s="68"/>
    </row>
    <row r="59" spans="6:12" ht="12.75">
      <c r="F59" s="77"/>
      <c r="G59" s="77"/>
      <c r="H59" s="77"/>
      <c r="I59" s="77"/>
      <c r="J59" s="77"/>
      <c r="K59" s="8"/>
      <c r="L59" s="2"/>
    </row>
    <row r="60" spans="6:12" ht="12.75">
      <c r="F60" s="77"/>
      <c r="G60" s="77"/>
      <c r="H60" s="77"/>
      <c r="I60" s="77"/>
      <c r="J60" s="77"/>
      <c r="K60" s="8"/>
      <c r="L60" s="2"/>
    </row>
    <row r="61" spans="6:12" ht="12.75">
      <c r="F61" s="77"/>
      <c r="G61" s="77"/>
      <c r="H61" s="77"/>
      <c r="I61" s="77"/>
      <c r="J61" s="77"/>
      <c r="K61" s="8"/>
      <c r="L61" s="2"/>
    </row>
    <row r="62" spans="6:12" ht="12.75">
      <c r="F62" s="77"/>
      <c r="G62" s="77"/>
      <c r="H62" s="77"/>
      <c r="I62" s="77"/>
      <c r="J62" s="77"/>
      <c r="K62" s="8"/>
      <c r="L62" s="2"/>
    </row>
    <row r="63" spans="6:12" ht="12.75">
      <c r="F63" s="77"/>
      <c r="G63" s="77"/>
      <c r="H63" s="77"/>
      <c r="I63" s="77"/>
      <c r="J63" s="77"/>
      <c r="K63" s="8"/>
      <c r="L63" s="2"/>
    </row>
    <row r="64" spans="6:12" ht="12.75">
      <c r="F64" s="77"/>
      <c r="G64" s="77"/>
      <c r="H64" s="77"/>
      <c r="I64" s="77"/>
      <c r="J64" s="77"/>
      <c r="K64" s="8"/>
      <c r="L64" s="2"/>
    </row>
    <row r="65" spans="6:12" ht="12.75">
      <c r="F65" s="77"/>
      <c r="G65" s="77"/>
      <c r="H65" s="77"/>
      <c r="I65" s="77"/>
      <c r="J65" s="77"/>
      <c r="K65" s="8"/>
      <c r="L65" s="2"/>
    </row>
    <row r="66" spans="2:12" ht="12.75">
      <c r="B66" s="77"/>
      <c r="F66" s="77"/>
      <c r="G66" s="77"/>
      <c r="H66" s="77"/>
      <c r="I66" s="77"/>
      <c r="J66" s="77"/>
      <c r="K66" s="8"/>
      <c r="L66" s="2"/>
    </row>
    <row r="67" spans="6:12" ht="12.75">
      <c r="F67" s="77"/>
      <c r="G67" s="77"/>
      <c r="H67" s="77"/>
      <c r="I67" s="77"/>
      <c r="J67" s="77"/>
      <c r="K67" s="8"/>
      <c r="L67" s="2"/>
    </row>
    <row r="68" spans="6:12" ht="12.75">
      <c r="F68" s="77"/>
      <c r="G68" s="77"/>
      <c r="H68" s="77"/>
      <c r="I68" s="77"/>
      <c r="J68" s="77"/>
      <c r="K68" s="8"/>
      <c r="L68" s="2"/>
    </row>
    <row r="69" spans="6:12" ht="12.75">
      <c r="F69" s="77"/>
      <c r="G69" s="77"/>
      <c r="H69" s="77"/>
      <c r="I69" s="77"/>
      <c r="J69" s="77"/>
      <c r="K69" s="8"/>
      <c r="L69" s="2"/>
    </row>
    <row r="70" spans="6:12" ht="12.75">
      <c r="F70" s="77"/>
      <c r="G70" s="77"/>
      <c r="H70" s="77"/>
      <c r="I70" s="77"/>
      <c r="J70" s="77"/>
      <c r="K70" s="8"/>
      <c r="L70" s="2"/>
    </row>
    <row r="71" spans="6:12" ht="12.75">
      <c r="F71" s="77"/>
      <c r="G71" s="77"/>
      <c r="H71" s="77"/>
      <c r="I71" s="77"/>
      <c r="J71" s="77"/>
      <c r="K71" s="8"/>
      <c r="L71" s="2"/>
    </row>
    <row r="72" spans="6:12" ht="12.75">
      <c r="F72" s="77"/>
      <c r="G72" s="77"/>
      <c r="H72" s="77"/>
      <c r="I72" s="77"/>
      <c r="J72" s="77"/>
      <c r="K72" s="8"/>
      <c r="L72" s="2"/>
    </row>
    <row r="73" spans="6:12" ht="12.75">
      <c r="F73" s="77"/>
      <c r="G73" s="77"/>
      <c r="H73" s="77"/>
      <c r="I73" s="77"/>
      <c r="J73" s="77"/>
      <c r="K73" s="8"/>
      <c r="L73" s="2"/>
    </row>
    <row r="74" spans="6:12" ht="12.75">
      <c r="F74" s="77"/>
      <c r="G74" s="77"/>
      <c r="H74" s="77"/>
      <c r="I74" s="77"/>
      <c r="K74" s="8"/>
      <c r="L74" s="2"/>
    </row>
    <row r="75" spans="11:12" ht="12.75">
      <c r="K75" s="8"/>
      <c r="L75" s="2"/>
    </row>
    <row r="76" spans="11:12" ht="12.75">
      <c r="K76" s="8"/>
      <c r="L76" s="2"/>
    </row>
    <row r="77" spans="11:12" ht="12.75">
      <c r="K77" s="8"/>
      <c r="L77" s="2"/>
    </row>
    <row r="78" spans="11:12" ht="12.75">
      <c r="K78" s="8"/>
      <c r="L78" s="2"/>
    </row>
    <row r="79" spans="11:12" ht="12.75">
      <c r="K79" s="8"/>
      <c r="L79" s="2"/>
    </row>
  </sheetData>
  <sheetProtection/>
  <mergeCells count="14">
    <mergeCell ref="E28:H28"/>
    <mergeCell ref="E27:H27"/>
    <mergeCell ref="A18:I18"/>
    <mergeCell ref="C7:I7"/>
    <mergeCell ref="H5:I5"/>
    <mergeCell ref="A24:I24"/>
    <mergeCell ref="D14:F14"/>
    <mergeCell ref="B21:B22"/>
    <mergeCell ref="C21:C22"/>
    <mergeCell ref="I21:I22"/>
    <mergeCell ref="A21:A22"/>
    <mergeCell ref="A19:I19"/>
    <mergeCell ref="A3:I3"/>
    <mergeCell ref="A2:I2"/>
  </mergeCells>
  <printOptions/>
  <pageMargins left="0.45" right="0.38" top="0.76" bottom="0.6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paybill</dc:title>
  <dc:subject/>
  <dc:creator>tsr</dc:creator>
  <cp:keywords/>
  <dc:description/>
  <cp:lastModifiedBy>SRINIVAS</cp:lastModifiedBy>
  <cp:lastPrinted>2013-12-29T18:44:46Z</cp:lastPrinted>
  <dcterms:created xsi:type="dcterms:W3CDTF">2006-12-29T10:29:56Z</dcterms:created>
  <dcterms:modified xsi:type="dcterms:W3CDTF">2013-12-29T18:49:51Z</dcterms:modified>
  <cp:category>bills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