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155" windowHeight="8475" firstSheet="2" activeTab="9"/>
  </bookViews>
  <sheets>
    <sheet name="Inputs" sheetId="2" r:id="rId1"/>
    <sheet name="Office P&amp;L" sheetId="4" r:id="rId2"/>
    <sheet name="Daycare P&amp;L" sheetId="1" r:id="rId3"/>
    <sheet name="Valuation" sheetId="9" r:id="rId4"/>
    <sheet name="BlankSpaces Info" sheetId="3" r:id="rId5"/>
    <sheet name="Required Daycare Ratio" sheetId="5" r:id="rId6"/>
    <sheet name="State Fees" sheetId="6" r:id="rId7"/>
    <sheet name="Salaries" sheetId="7" r:id="rId8"/>
    <sheet name="Hourly Rate on-demand" sheetId="8" r:id="rId9"/>
    <sheet name="Simplified P&amp;L" sheetId="10" r:id="rId10"/>
  </sheets>
  <calcPr calcId="145621"/>
</workbook>
</file>

<file path=xl/calcChain.xml><?xml version="1.0" encoding="utf-8"?>
<calcChain xmlns="http://schemas.openxmlformats.org/spreadsheetml/2006/main">
  <c r="C35" i="10" l="1"/>
  <c r="D35" i="10"/>
  <c r="E35" i="10"/>
  <c r="F35" i="10"/>
  <c r="G35" i="10"/>
  <c r="H35" i="10"/>
  <c r="I35" i="10"/>
  <c r="J35" i="10"/>
  <c r="B35" i="10"/>
  <c r="C30" i="10"/>
  <c r="D30" i="10"/>
  <c r="E30" i="10"/>
  <c r="F30" i="10"/>
  <c r="G30" i="10"/>
  <c r="H30" i="10"/>
  <c r="I30" i="10"/>
  <c r="J30" i="10"/>
  <c r="B30" i="10"/>
  <c r="C28" i="10"/>
  <c r="D28" i="10"/>
  <c r="E28" i="10"/>
  <c r="F28" i="10"/>
  <c r="G28" i="10"/>
  <c r="H28" i="10"/>
  <c r="I28" i="10"/>
  <c r="J28" i="10"/>
  <c r="B28" i="10"/>
  <c r="C27" i="10"/>
  <c r="D27" i="10"/>
  <c r="E27" i="10"/>
  <c r="F27" i="10"/>
  <c r="G27" i="10"/>
  <c r="H27" i="10"/>
  <c r="I27" i="10"/>
  <c r="J27" i="10"/>
  <c r="B27" i="10"/>
  <c r="J29" i="10"/>
  <c r="J31" i="10" s="1"/>
  <c r="I29" i="10"/>
  <c r="H29" i="10"/>
  <c r="H31" i="10" s="1"/>
  <c r="G29" i="10"/>
  <c r="F29" i="10"/>
  <c r="F31" i="10" s="1"/>
  <c r="E29" i="10"/>
  <c r="D29" i="10"/>
  <c r="D31" i="10" s="1"/>
  <c r="C29" i="10"/>
  <c r="C31" i="10" s="1"/>
  <c r="C23" i="10"/>
  <c r="D23" i="10"/>
  <c r="E23" i="10"/>
  <c r="F23" i="10"/>
  <c r="G23" i="10"/>
  <c r="H23" i="10"/>
  <c r="I23" i="10"/>
  <c r="J23" i="10"/>
  <c r="B23" i="10"/>
  <c r="C15" i="10"/>
  <c r="D15" i="10"/>
  <c r="E15" i="10"/>
  <c r="F15" i="10"/>
  <c r="G15" i="10"/>
  <c r="G17" i="10" s="1"/>
  <c r="G19" i="10" s="1"/>
  <c r="H15" i="10"/>
  <c r="I15" i="10"/>
  <c r="I17" i="10" s="1"/>
  <c r="I19" i="10" s="1"/>
  <c r="J15" i="10"/>
  <c r="B15" i="10"/>
  <c r="C16" i="10"/>
  <c r="D16" i="10"/>
  <c r="E16" i="10"/>
  <c r="F16" i="10"/>
  <c r="G16" i="10"/>
  <c r="H16" i="10"/>
  <c r="I16" i="10"/>
  <c r="J16" i="10"/>
  <c r="B16" i="10"/>
  <c r="C4" i="10"/>
  <c r="D4" i="10"/>
  <c r="E4" i="10"/>
  <c r="F4" i="10"/>
  <c r="G4" i="10"/>
  <c r="H4" i="10"/>
  <c r="I4" i="10"/>
  <c r="J4" i="10"/>
  <c r="B4" i="10"/>
  <c r="B5" i="10" s="1"/>
  <c r="B7" i="10" s="1"/>
  <c r="J17" i="10"/>
  <c r="J19" i="10" s="1"/>
  <c r="H17" i="10"/>
  <c r="H19" i="10" s="1"/>
  <c r="F17" i="10"/>
  <c r="F19" i="10" s="1"/>
  <c r="E17" i="10"/>
  <c r="E19" i="10" s="1"/>
  <c r="D17" i="10"/>
  <c r="D19" i="10" s="1"/>
  <c r="C17" i="10"/>
  <c r="C19" i="10" s="1"/>
  <c r="C11" i="10"/>
  <c r="D11" i="10"/>
  <c r="E11" i="10"/>
  <c r="F11" i="10"/>
  <c r="G11" i="10"/>
  <c r="H11" i="10"/>
  <c r="I11" i="10"/>
  <c r="J11" i="10"/>
  <c r="B11" i="10"/>
  <c r="C5" i="10"/>
  <c r="C7" i="10" s="1"/>
  <c r="D5" i="10"/>
  <c r="D7" i="10" s="1"/>
  <c r="E5" i="10"/>
  <c r="E7" i="10" s="1"/>
  <c r="F5" i="10"/>
  <c r="F7" i="10" s="1"/>
  <c r="G5" i="10"/>
  <c r="G7" i="10" s="1"/>
  <c r="H5" i="10"/>
  <c r="H7" i="10" s="1"/>
  <c r="I5" i="10"/>
  <c r="I7" i="10" s="1"/>
  <c r="J5" i="10"/>
  <c r="J7" i="10" s="1"/>
  <c r="C3" i="10"/>
  <c r="D3" i="10"/>
  <c r="E3" i="10"/>
  <c r="F3" i="10"/>
  <c r="G3" i="10"/>
  <c r="H3" i="10"/>
  <c r="I3" i="10"/>
  <c r="J3" i="10"/>
  <c r="B3" i="10"/>
  <c r="AL23" i="9"/>
  <c r="AL24" i="9"/>
  <c r="AL25" i="9" s="1"/>
  <c r="B27" i="9" s="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B8" i="9"/>
  <c r="C33" i="9"/>
  <c r="C34" i="9"/>
  <c r="C35" i="9"/>
  <c r="B36" i="9"/>
  <c r="B38" i="9"/>
  <c r="B39" i="9" s="1"/>
  <c r="D41" i="9"/>
  <c r="B43" i="9"/>
  <c r="B44" i="9" s="1"/>
  <c r="E31" i="10" l="1"/>
  <c r="G31" i="10"/>
  <c r="I31" i="10"/>
  <c r="B29" i="10"/>
  <c r="B31" i="10" s="1"/>
  <c r="B17" i="10"/>
  <c r="B19" i="10" s="1"/>
  <c r="AL26" i="9"/>
  <c r="B28" i="9" s="1"/>
  <c r="C41" i="9"/>
  <c r="E41" i="9"/>
  <c r="E36" i="9" s="1"/>
  <c r="D34" i="9"/>
  <c r="E34" i="9" s="1"/>
  <c r="C36" i="9"/>
  <c r="B41" i="9"/>
  <c r="AA55" i="9"/>
  <c r="AB55" i="9"/>
  <c r="AC55" i="9"/>
  <c r="AD55" i="9"/>
  <c r="AE55" i="9"/>
  <c r="AF55" i="9"/>
  <c r="AG55" i="9"/>
  <c r="AH55" i="9"/>
  <c r="AI55" i="9"/>
  <c r="AJ55" i="9"/>
  <c r="AK55" i="9"/>
  <c r="D9" i="9"/>
  <c r="F9" i="9"/>
  <c r="H9" i="9"/>
  <c r="J9" i="9"/>
  <c r="L9" i="9"/>
  <c r="N9" i="9"/>
  <c r="P9" i="9"/>
  <c r="R9" i="9"/>
  <c r="T9" i="9"/>
  <c r="V9" i="9"/>
  <c r="X9" i="9"/>
  <c r="Z9" i="9"/>
  <c r="AB9" i="9"/>
  <c r="AD9" i="9"/>
  <c r="AF9" i="9"/>
  <c r="AH9" i="9"/>
  <c r="AJ9" i="9"/>
  <c r="C9" i="9"/>
  <c r="E9" i="9"/>
  <c r="G9" i="9"/>
  <c r="I9" i="9"/>
  <c r="K9" i="9"/>
  <c r="M9" i="9"/>
  <c r="O9" i="9"/>
  <c r="Q9" i="9"/>
  <c r="S9" i="9"/>
  <c r="U9" i="9"/>
  <c r="W9" i="9"/>
  <c r="Y9" i="9"/>
  <c r="AA9" i="9"/>
  <c r="AC9" i="9"/>
  <c r="AE9" i="9"/>
  <c r="AG9" i="9"/>
  <c r="AI9" i="9"/>
  <c r="AK9" i="9"/>
  <c r="B9" i="9"/>
  <c r="E6" i="9"/>
  <c r="B6" i="9"/>
  <c r="C5" i="9"/>
  <c r="C4" i="9"/>
  <c r="C3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B55" i="9"/>
  <c r="B53" i="9"/>
  <c r="C52" i="9"/>
  <c r="B56" i="9" s="1"/>
  <c r="AB56" i="9" s="1"/>
  <c r="C51" i="9"/>
  <c r="C50" i="9"/>
  <c r="D33" i="9" l="1"/>
  <c r="E33" i="9" s="1"/>
  <c r="D35" i="9"/>
  <c r="E35" i="9" s="1"/>
  <c r="D36" i="9"/>
  <c r="AB57" i="9"/>
  <c r="AK56" i="9"/>
  <c r="AK57" i="9" s="1"/>
  <c r="AI56" i="9"/>
  <c r="AI57" i="9" s="1"/>
  <c r="AG56" i="9"/>
  <c r="AG57" i="9" s="1"/>
  <c r="AE56" i="9"/>
  <c r="AE57" i="9" s="1"/>
  <c r="AC56" i="9"/>
  <c r="AC57" i="9" s="1"/>
  <c r="AA56" i="9"/>
  <c r="AA57" i="9" s="1"/>
  <c r="AJ56" i="9"/>
  <c r="AJ57" i="9" s="1"/>
  <c r="AH56" i="9"/>
  <c r="AH57" i="9" s="1"/>
  <c r="AF56" i="9"/>
  <c r="AF57" i="9" s="1"/>
  <c r="AD56" i="9"/>
  <c r="AD57" i="9" s="1"/>
  <c r="C6" i="9"/>
  <c r="D56" i="9"/>
  <c r="F56" i="9"/>
  <c r="H56" i="9"/>
  <c r="J56" i="9"/>
  <c r="L56" i="9"/>
  <c r="N56" i="9"/>
  <c r="P56" i="9"/>
  <c r="R56" i="9"/>
  <c r="T56" i="9"/>
  <c r="V56" i="9"/>
  <c r="X56" i="9"/>
  <c r="Z56" i="9"/>
  <c r="E56" i="9"/>
  <c r="E57" i="9" s="1"/>
  <c r="G56" i="9"/>
  <c r="G57" i="9" s="1"/>
  <c r="I56" i="9"/>
  <c r="I57" i="9" s="1"/>
  <c r="K56" i="9"/>
  <c r="K57" i="9" s="1"/>
  <c r="M56" i="9"/>
  <c r="M57" i="9" s="1"/>
  <c r="O56" i="9"/>
  <c r="O57" i="9" s="1"/>
  <c r="Q56" i="9"/>
  <c r="Q57" i="9" s="1"/>
  <c r="S56" i="9"/>
  <c r="S57" i="9" s="1"/>
  <c r="U56" i="9"/>
  <c r="U57" i="9" s="1"/>
  <c r="W56" i="9"/>
  <c r="W57" i="9" s="1"/>
  <c r="Y56" i="9"/>
  <c r="Y57" i="9" s="1"/>
  <c r="C56" i="9"/>
  <c r="C53" i="9"/>
  <c r="Z57" i="9"/>
  <c r="X57" i="9"/>
  <c r="V57" i="9"/>
  <c r="T57" i="9"/>
  <c r="R57" i="9"/>
  <c r="P57" i="9"/>
  <c r="N57" i="9"/>
  <c r="L57" i="9"/>
  <c r="J57" i="9"/>
  <c r="H57" i="9"/>
  <c r="F57" i="9"/>
  <c r="D57" i="9"/>
  <c r="C57" i="9"/>
  <c r="B57" i="9"/>
  <c r="B42" i="4"/>
  <c r="B58" i="9" l="1"/>
  <c r="B59" i="9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F8" i="4"/>
  <c r="E36" i="2"/>
  <c r="Z22" i="1"/>
  <c r="AA22" i="1"/>
  <c r="AB22" i="1"/>
  <c r="AC22" i="1"/>
  <c r="AD22" i="1"/>
  <c r="AE22" i="1"/>
  <c r="AF22" i="1"/>
  <c r="AG22" i="1"/>
  <c r="AH22" i="1"/>
  <c r="AI22" i="1"/>
  <c r="AJ22" i="1"/>
  <c r="AK22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Z28" i="4"/>
  <c r="AA28" i="4"/>
  <c r="AB28" i="4"/>
  <c r="AC28" i="4"/>
  <c r="AD28" i="4"/>
  <c r="AE28" i="4"/>
  <c r="AF28" i="4"/>
  <c r="AG28" i="4"/>
  <c r="AH28" i="4"/>
  <c r="AI28" i="4"/>
  <c r="AJ28" i="4"/>
  <c r="AK28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Z26" i="2"/>
  <c r="AA26" i="2"/>
  <c r="AB26" i="2"/>
  <c r="AC26" i="2"/>
  <c r="AD26" i="2"/>
  <c r="AE26" i="2"/>
  <c r="AF26" i="2"/>
  <c r="AG26" i="2"/>
  <c r="AH26" i="2"/>
  <c r="AI26" i="2"/>
  <c r="AJ26" i="2"/>
  <c r="AK26" i="2"/>
  <c r="E14" i="2" l="1"/>
  <c r="D6" i="9" l="1"/>
  <c r="D4" i="9"/>
  <c r="D5" i="9"/>
  <c r="D3" i="9"/>
  <c r="D50" i="9"/>
  <c r="D52" i="9"/>
  <c r="D51" i="9"/>
  <c r="D53" i="9"/>
  <c r="AL43" i="9"/>
  <c r="Z21" i="4"/>
  <c r="AB21" i="4"/>
  <c r="AD21" i="4"/>
  <c r="AF21" i="4"/>
  <c r="AH21" i="4"/>
  <c r="AJ21" i="4"/>
  <c r="AA21" i="4"/>
  <c r="AC21" i="4"/>
  <c r="AE21" i="4"/>
  <c r="AG21" i="4"/>
  <c r="AI21" i="4"/>
  <c r="AK21" i="4"/>
  <c r="F21" i="4"/>
  <c r="F26" i="2"/>
  <c r="C26" i="2"/>
  <c r="D26" i="2"/>
  <c r="E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B26" i="2"/>
  <c r="B7" i="2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B33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F30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F28" i="4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2" i="1"/>
  <c r="E16" i="4"/>
  <c r="E18" i="4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34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F29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F28" i="1"/>
  <c r="B38" i="2"/>
  <c r="N17" i="1"/>
  <c r="Z17" i="1" s="1"/>
  <c r="E17" i="1"/>
  <c r="E16" i="1"/>
  <c r="C14" i="1"/>
  <c r="B14" i="1"/>
  <c r="C13" i="1"/>
  <c r="B13" i="1"/>
  <c r="B37" i="2"/>
  <c r="E37" i="2" s="1"/>
  <c r="B36" i="2"/>
  <c r="B32" i="2"/>
  <c r="B33" i="2" s="1"/>
  <c r="C14" i="8"/>
  <c r="C15" i="8" s="1"/>
  <c r="C16" i="8" s="1"/>
  <c r="C17" i="8" s="1"/>
  <c r="C18" i="8" s="1"/>
  <c r="G4" i="8" s="1"/>
  <c r="E4" i="8"/>
  <c r="F4" i="8" s="1"/>
  <c r="D4" i="8"/>
  <c r="D3" i="8"/>
  <c r="E3" i="8" s="1"/>
  <c r="F3" i="8" s="1"/>
  <c r="E4" i="9" l="1"/>
  <c r="E5" i="9"/>
  <c r="AI11" i="9"/>
  <c r="AE11" i="9"/>
  <c r="AA11" i="9"/>
  <c r="W11" i="9"/>
  <c r="S11" i="9"/>
  <c r="O11" i="9"/>
  <c r="K11" i="9"/>
  <c r="G11" i="9"/>
  <c r="C11" i="9"/>
  <c r="AJ11" i="9"/>
  <c r="AF11" i="9"/>
  <c r="AB11" i="9"/>
  <c r="X11" i="9"/>
  <c r="T11" i="9"/>
  <c r="P11" i="9"/>
  <c r="L11" i="9"/>
  <c r="H11" i="9"/>
  <c r="D11" i="9"/>
  <c r="AK11" i="9"/>
  <c r="AG11" i="9"/>
  <c r="AC11" i="9"/>
  <c r="Y11" i="9"/>
  <c r="U11" i="9"/>
  <c r="Q11" i="9"/>
  <c r="M11" i="9"/>
  <c r="I11" i="9"/>
  <c r="E11" i="9"/>
  <c r="B11" i="9"/>
  <c r="AH11" i="9"/>
  <c r="AD11" i="9"/>
  <c r="Z11" i="9"/>
  <c r="V11" i="9"/>
  <c r="R11" i="9"/>
  <c r="N11" i="9"/>
  <c r="J11" i="9"/>
  <c r="F11" i="9"/>
  <c r="E3" i="9"/>
  <c r="B10" i="9"/>
  <c r="AD10" i="9"/>
  <c r="X10" i="9"/>
  <c r="R10" i="9"/>
  <c r="N10" i="9"/>
  <c r="J10" i="9"/>
  <c r="F10" i="9"/>
  <c r="AF10" i="9"/>
  <c r="V10" i="9"/>
  <c r="AI10" i="9"/>
  <c r="AE10" i="9"/>
  <c r="AA10" i="9"/>
  <c r="W10" i="9"/>
  <c r="S10" i="9"/>
  <c r="O10" i="9"/>
  <c r="K10" i="9"/>
  <c r="G10" i="9"/>
  <c r="C10" i="9"/>
  <c r="AH10" i="9"/>
  <c r="Z10" i="9"/>
  <c r="T10" i="9"/>
  <c r="P10" i="9"/>
  <c r="L10" i="9"/>
  <c r="H10" i="9"/>
  <c r="D10" i="9"/>
  <c r="AJ10" i="9"/>
  <c r="AB10" i="9"/>
  <c r="AK10" i="9"/>
  <c r="AG10" i="9"/>
  <c r="AC10" i="9"/>
  <c r="Y10" i="9"/>
  <c r="U10" i="9"/>
  <c r="Q10" i="9"/>
  <c r="M10" i="9"/>
  <c r="I10" i="9"/>
  <c r="E10" i="9"/>
  <c r="Z6" i="1"/>
  <c r="Z7" i="1" s="1"/>
  <c r="Z8" i="1" s="1"/>
  <c r="AB6" i="1"/>
  <c r="AB7" i="1" s="1"/>
  <c r="AB8" i="1" s="1"/>
  <c r="AD6" i="1"/>
  <c r="AD7" i="1" s="1"/>
  <c r="AD8" i="1" s="1"/>
  <c r="AF6" i="1"/>
  <c r="AF7" i="1" s="1"/>
  <c r="AF8" i="1" s="1"/>
  <c r="AH6" i="1"/>
  <c r="AH7" i="1" s="1"/>
  <c r="AH8" i="1" s="1"/>
  <c r="AJ6" i="1"/>
  <c r="AJ7" i="1" s="1"/>
  <c r="AJ8" i="1" s="1"/>
  <c r="AA6" i="1"/>
  <c r="AA7" i="1" s="1"/>
  <c r="AA8" i="1" s="1"/>
  <c r="AC6" i="1"/>
  <c r="AC7" i="1" s="1"/>
  <c r="AC8" i="1" s="1"/>
  <c r="AE6" i="1"/>
  <c r="AE7" i="1" s="1"/>
  <c r="AE8" i="1" s="1"/>
  <c r="AG6" i="1"/>
  <c r="AG7" i="1" s="1"/>
  <c r="AG8" i="1" s="1"/>
  <c r="AI6" i="1"/>
  <c r="AI7" i="1" s="1"/>
  <c r="AI8" i="1" s="1"/>
  <c r="AK6" i="1"/>
  <c r="AK7" i="1" s="1"/>
  <c r="AK8" i="1" s="1"/>
  <c r="B28" i="2"/>
  <c r="AA21" i="1"/>
  <c r="AC21" i="1"/>
  <c r="AE21" i="1"/>
  <c r="AG21" i="1"/>
  <c r="AI21" i="1"/>
  <c r="AK21" i="1"/>
  <c r="Z21" i="1"/>
  <c r="AB21" i="1"/>
  <c r="AD21" i="1"/>
  <c r="AF21" i="1"/>
  <c r="AH21" i="1"/>
  <c r="AJ21" i="1"/>
  <c r="AA20" i="1"/>
  <c r="AC20" i="1"/>
  <c r="AE20" i="1"/>
  <c r="AG20" i="1"/>
  <c r="AI20" i="1"/>
  <c r="AK20" i="1"/>
  <c r="Z20" i="1"/>
  <c r="AB20" i="1"/>
  <c r="AD20" i="1"/>
  <c r="AF20" i="1"/>
  <c r="AH20" i="1"/>
  <c r="AJ20" i="1"/>
  <c r="H4" i="8"/>
  <c r="H3" i="8" s="1"/>
  <c r="G3" i="8" s="1"/>
  <c r="B14" i="9" l="1"/>
  <c r="B12" i="9"/>
  <c r="B13" i="9"/>
  <c r="AA27" i="2"/>
  <c r="AC27" i="2"/>
  <c r="AE27" i="2"/>
  <c r="Z27" i="2"/>
  <c r="AD27" i="2"/>
  <c r="AG27" i="2"/>
  <c r="AI27" i="2"/>
  <c r="AK27" i="2"/>
  <c r="AB27" i="2"/>
  <c r="AF27" i="2"/>
  <c r="AH27" i="2"/>
  <c r="AJ27" i="2"/>
  <c r="C27" i="2"/>
  <c r="E27" i="2"/>
  <c r="H27" i="2"/>
  <c r="L27" i="2"/>
  <c r="P27" i="2"/>
  <c r="T27" i="2"/>
  <c r="X27" i="2"/>
  <c r="F27" i="2"/>
  <c r="G27" i="2"/>
  <c r="K27" i="2"/>
  <c r="O27" i="2"/>
  <c r="S27" i="2"/>
  <c r="W27" i="2"/>
  <c r="J27" i="2"/>
  <c r="N27" i="2"/>
  <c r="R27" i="2"/>
  <c r="V27" i="2"/>
  <c r="B27" i="2"/>
  <c r="D27" i="2"/>
  <c r="I27" i="2"/>
  <c r="M27" i="2"/>
  <c r="Q27" i="2"/>
  <c r="U27" i="2"/>
  <c r="Y27" i="2"/>
  <c r="B16" i="2"/>
  <c r="B3" i="3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5" i="1"/>
  <c r="E15" i="1"/>
  <c r="D15" i="1"/>
  <c r="B43" i="2"/>
  <c r="Z22" i="4" l="1"/>
  <c r="AB22" i="4"/>
  <c r="AD22" i="4"/>
  <c r="AF22" i="4"/>
  <c r="AH22" i="4"/>
  <c r="AJ22" i="4"/>
  <c r="Z25" i="4"/>
  <c r="AB25" i="4"/>
  <c r="AD25" i="4"/>
  <c r="AF25" i="4"/>
  <c r="AH25" i="4"/>
  <c r="AJ25" i="4"/>
  <c r="Z29" i="4"/>
  <c r="AB29" i="4"/>
  <c r="AD29" i="4"/>
  <c r="AF29" i="4"/>
  <c r="AH29" i="4"/>
  <c r="AJ29" i="4"/>
  <c r="Z31" i="4"/>
  <c r="AB31" i="4"/>
  <c r="AD31" i="4"/>
  <c r="AF31" i="4"/>
  <c r="AH31" i="4"/>
  <c r="AJ31" i="4"/>
  <c r="AA22" i="4"/>
  <c r="AC22" i="4"/>
  <c r="AE22" i="4"/>
  <c r="AG22" i="4"/>
  <c r="AI22" i="4"/>
  <c r="AK22" i="4"/>
  <c r="AA25" i="4"/>
  <c r="AC25" i="4"/>
  <c r="AG25" i="4"/>
  <c r="AK25" i="4"/>
  <c r="AC29" i="4"/>
  <c r="AG29" i="4"/>
  <c r="AK29" i="4"/>
  <c r="AC31" i="4"/>
  <c r="AG31" i="4"/>
  <c r="AK31" i="4"/>
  <c r="AE25" i="4"/>
  <c r="AI25" i="4"/>
  <c r="AA29" i="4"/>
  <c r="AE29" i="4"/>
  <c r="AI29" i="4"/>
  <c r="AA31" i="4"/>
  <c r="AE31" i="4"/>
  <c r="AI31" i="4"/>
  <c r="AA4" i="2"/>
  <c r="AA5" i="2" s="1"/>
  <c r="AA6" i="2" s="1"/>
  <c r="AC4" i="2"/>
  <c r="AC5" i="2" s="1"/>
  <c r="AC6" i="2" s="1"/>
  <c r="AE4" i="2"/>
  <c r="AE5" i="2" s="1"/>
  <c r="AE6" i="2" s="1"/>
  <c r="AG4" i="2"/>
  <c r="AG5" i="2" s="1"/>
  <c r="AG6" i="2" s="1"/>
  <c r="AI4" i="2"/>
  <c r="AI5" i="2" s="1"/>
  <c r="AI6" i="2" s="1"/>
  <c r="AK4" i="2"/>
  <c r="AK5" i="2" s="1"/>
  <c r="AK6" i="2" s="1"/>
  <c r="Z4" i="2"/>
  <c r="Z5" i="2" s="1"/>
  <c r="Z6" i="2" s="1"/>
  <c r="AD4" i="2"/>
  <c r="AD5" i="2" s="1"/>
  <c r="AD6" i="2" s="1"/>
  <c r="AH4" i="2"/>
  <c r="AH5" i="2" s="1"/>
  <c r="AH6" i="2" s="1"/>
  <c r="AB4" i="2"/>
  <c r="AB5" i="2" s="1"/>
  <c r="AB6" i="2" s="1"/>
  <c r="AF4" i="2"/>
  <c r="AF5" i="2" s="1"/>
  <c r="AF6" i="2" s="1"/>
  <c r="AJ4" i="2"/>
  <c r="AJ5" i="2" s="1"/>
  <c r="AJ6" i="2" s="1"/>
  <c r="D4" i="2"/>
  <c r="D5" i="2" s="1"/>
  <c r="D6" i="2" s="1"/>
  <c r="F4" i="2"/>
  <c r="F5" i="2" s="1"/>
  <c r="F6" i="2" s="1"/>
  <c r="H4" i="2"/>
  <c r="H5" i="2" s="1"/>
  <c r="H6" i="2" s="1"/>
  <c r="J4" i="2"/>
  <c r="J5" i="2" s="1"/>
  <c r="J6" i="2" s="1"/>
  <c r="L4" i="2"/>
  <c r="L5" i="2" s="1"/>
  <c r="L6" i="2" s="1"/>
  <c r="N4" i="2"/>
  <c r="N5" i="2" s="1"/>
  <c r="N6" i="2" s="1"/>
  <c r="P4" i="2"/>
  <c r="P5" i="2" s="1"/>
  <c r="P6" i="2" s="1"/>
  <c r="R4" i="2"/>
  <c r="R5" i="2" s="1"/>
  <c r="R6" i="2" s="1"/>
  <c r="T4" i="2"/>
  <c r="T5" i="2" s="1"/>
  <c r="T6" i="2" s="1"/>
  <c r="V4" i="2"/>
  <c r="V5" i="2" s="1"/>
  <c r="V6" i="2" s="1"/>
  <c r="X4" i="2"/>
  <c r="X5" i="2" s="1"/>
  <c r="X6" i="2" s="1"/>
  <c r="B4" i="2"/>
  <c r="B5" i="2" s="1"/>
  <c r="B6" i="2" s="1"/>
  <c r="C4" i="2"/>
  <c r="C5" i="2" s="1"/>
  <c r="C6" i="2" s="1"/>
  <c r="E4" i="2"/>
  <c r="E5" i="2" s="1"/>
  <c r="E6" i="2" s="1"/>
  <c r="G4" i="2"/>
  <c r="G5" i="2" s="1"/>
  <c r="G6" i="2" s="1"/>
  <c r="I4" i="2"/>
  <c r="I5" i="2" s="1"/>
  <c r="I6" i="2" s="1"/>
  <c r="K4" i="2"/>
  <c r="K5" i="2" s="1"/>
  <c r="K6" i="2" s="1"/>
  <c r="M4" i="2"/>
  <c r="M5" i="2" s="1"/>
  <c r="M6" i="2" s="1"/>
  <c r="O4" i="2"/>
  <c r="O5" i="2" s="1"/>
  <c r="O6" i="2" s="1"/>
  <c r="Q4" i="2"/>
  <c r="Q5" i="2" s="1"/>
  <c r="Q6" i="2" s="1"/>
  <c r="S4" i="2"/>
  <c r="S5" i="2" s="1"/>
  <c r="S6" i="2" s="1"/>
  <c r="U4" i="2"/>
  <c r="U5" i="2" s="1"/>
  <c r="U6" i="2" s="1"/>
  <c r="W4" i="2"/>
  <c r="W5" i="2" s="1"/>
  <c r="W6" i="2" s="1"/>
  <c r="Y4" i="2"/>
  <c r="Y5" i="2" s="1"/>
  <c r="Y6" i="2" s="1"/>
  <c r="G31" i="4"/>
  <c r="I31" i="4"/>
  <c r="K31" i="4"/>
  <c r="M31" i="4"/>
  <c r="O31" i="4"/>
  <c r="Q31" i="4"/>
  <c r="S31" i="4"/>
  <c r="U31" i="4"/>
  <c r="W31" i="4"/>
  <c r="Y31" i="4"/>
  <c r="G29" i="4"/>
  <c r="I29" i="4"/>
  <c r="K29" i="4"/>
  <c r="M29" i="4"/>
  <c r="O29" i="4"/>
  <c r="Q29" i="4"/>
  <c r="S29" i="4"/>
  <c r="U29" i="4"/>
  <c r="W29" i="4"/>
  <c r="Y29" i="4"/>
  <c r="D22" i="4"/>
  <c r="F22" i="4"/>
  <c r="H22" i="4"/>
  <c r="J22" i="4"/>
  <c r="L22" i="4"/>
  <c r="N22" i="4"/>
  <c r="P22" i="4"/>
  <c r="R22" i="4"/>
  <c r="T22" i="4"/>
  <c r="V22" i="4"/>
  <c r="X22" i="4"/>
  <c r="B22" i="4"/>
  <c r="D15" i="4"/>
  <c r="B14" i="4"/>
  <c r="B13" i="4"/>
  <c r="H31" i="4"/>
  <c r="J31" i="4"/>
  <c r="L31" i="4"/>
  <c r="N31" i="4"/>
  <c r="P31" i="4"/>
  <c r="R31" i="4"/>
  <c r="T31" i="4"/>
  <c r="V31" i="4"/>
  <c r="X31" i="4"/>
  <c r="F31" i="4"/>
  <c r="H29" i="4"/>
  <c r="J29" i="4"/>
  <c r="L29" i="4"/>
  <c r="N29" i="4"/>
  <c r="P29" i="4"/>
  <c r="R29" i="4"/>
  <c r="T29" i="4"/>
  <c r="V29" i="4"/>
  <c r="X29" i="4"/>
  <c r="F29" i="4"/>
  <c r="C22" i="4"/>
  <c r="E22" i="4"/>
  <c r="G22" i="4"/>
  <c r="I22" i="4"/>
  <c r="K22" i="4"/>
  <c r="M22" i="4"/>
  <c r="O22" i="4"/>
  <c r="Q22" i="4"/>
  <c r="S22" i="4"/>
  <c r="U22" i="4"/>
  <c r="W22" i="4"/>
  <c r="Y22" i="4"/>
  <c r="C14" i="4"/>
  <c r="C13" i="4"/>
  <c r="B47" i="2"/>
  <c r="K25" i="4"/>
  <c r="S25" i="4"/>
  <c r="C25" i="4"/>
  <c r="W25" i="4"/>
  <c r="O25" i="4"/>
  <c r="G25" i="4"/>
  <c r="Y25" i="4"/>
  <c r="U25" i="4"/>
  <c r="Q25" i="4"/>
  <c r="M25" i="4"/>
  <c r="I25" i="4"/>
  <c r="E25" i="4"/>
  <c r="B25" i="4"/>
  <c r="X25" i="4"/>
  <c r="V25" i="4"/>
  <c r="T25" i="4"/>
  <c r="R25" i="4"/>
  <c r="P25" i="4"/>
  <c r="N25" i="4"/>
  <c r="L25" i="4"/>
  <c r="J25" i="4"/>
  <c r="H25" i="4"/>
  <c r="F25" i="4"/>
  <c r="D25" i="4"/>
  <c r="D6" i="1"/>
  <c r="F6" i="1"/>
  <c r="F7" i="1" s="1"/>
  <c r="F8" i="1" s="1"/>
  <c r="H6" i="1"/>
  <c r="H7" i="1" s="1"/>
  <c r="H8" i="1" s="1"/>
  <c r="J6" i="1"/>
  <c r="J7" i="1" s="1"/>
  <c r="J8" i="1" s="1"/>
  <c r="L6" i="1"/>
  <c r="L7" i="1" s="1"/>
  <c r="L8" i="1" s="1"/>
  <c r="N6" i="1"/>
  <c r="N7" i="1" s="1"/>
  <c r="N8" i="1" s="1"/>
  <c r="P6" i="1"/>
  <c r="P7" i="1" s="1"/>
  <c r="P8" i="1" s="1"/>
  <c r="R6" i="1"/>
  <c r="R7" i="1" s="1"/>
  <c r="R8" i="1" s="1"/>
  <c r="T6" i="1"/>
  <c r="T7" i="1" s="1"/>
  <c r="T8" i="1" s="1"/>
  <c r="V6" i="1"/>
  <c r="V7" i="1" s="1"/>
  <c r="V8" i="1" s="1"/>
  <c r="X6" i="1"/>
  <c r="X7" i="1" s="1"/>
  <c r="X8" i="1" s="1"/>
  <c r="B6" i="1"/>
  <c r="C6" i="1"/>
  <c r="E6" i="1"/>
  <c r="G6" i="1"/>
  <c r="G7" i="1" s="1"/>
  <c r="G8" i="1" s="1"/>
  <c r="I6" i="1"/>
  <c r="I7" i="1" s="1"/>
  <c r="I8" i="1" s="1"/>
  <c r="K6" i="1"/>
  <c r="K7" i="1" s="1"/>
  <c r="K8" i="1" s="1"/>
  <c r="M6" i="1"/>
  <c r="M7" i="1" s="1"/>
  <c r="M8" i="1" s="1"/>
  <c r="O6" i="1"/>
  <c r="O7" i="1" s="1"/>
  <c r="O8" i="1" s="1"/>
  <c r="Q6" i="1"/>
  <c r="Q7" i="1" s="1"/>
  <c r="Q8" i="1" s="1"/>
  <c r="S6" i="1"/>
  <c r="S7" i="1" s="1"/>
  <c r="S8" i="1" s="1"/>
  <c r="U6" i="1"/>
  <c r="U7" i="1" s="1"/>
  <c r="U8" i="1" s="1"/>
  <c r="W6" i="1"/>
  <c r="W7" i="1" s="1"/>
  <c r="W8" i="1" s="1"/>
  <c r="Y6" i="1"/>
  <c r="Y7" i="1" s="1"/>
  <c r="Y8" i="1" s="1"/>
  <c r="E15" i="4"/>
  <c r="E17" i="4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B46" i="2"/>
  <c r="G11" i="3" l="1"/>
  <c r="B9" i="2" s="1"/>
  <c r="B10" i="2" s="1"/>
  <c r="B11" i="2" s="1"/>
  <c r="Z26" i="1"/>
  <c r="AB26" i="1"/>
  <c r="AD26" i="1"/>
  <c r="AF26" i="1"/>
  <c r="AH26" i="1"/>
  <c r="AJ26" i="1"/>
  <c r="Z26" i="4"/>
  <c r="AB26" i="4"/>
  <c r="AD26" i="4"/>
  <c r="AF26" i="4"/>
  <c r="AH26" i="4"/>
  <c r="AJ26" i="4"/>
  <c r="AA26" i="1"/>
  <c r="AC26" i="1"/>
  <c r="AE26" i="1"/>
  <c r="AG26" i="1"/>
  <c r="AI26" i="1"/>
  <c r="AK26" i="1"/>
  <c r="AC26" i="4"/>
  <c r="AG26" i="4"/>
  <c r="AK26" i="4"/>
  <c r="AA26" i="4"/>
  <c r="AE26" i="4"/>
  <c r="AI26" i="4"/>
  <c r="Z27" i="1"/>
  <c r="AB27" i="1"/>
  <c r="AD27" i="1"/>
  <c r="AF27" i="1"/>
  <c r="AH27" i="1"/>
  <c r="AJ27" i="1"/>
  <c r="Z27" i="4"/>
  <c r="AB27" i="4"/>
  <c r="AD27" i="4"/>
  <c r="AF27" i="4"/>
  <c r="AH27" i="4"/>
  <c r="AJ27" i="4"/>
  <c r="AA27" i="1"/>
  <c r="AC27" i="1"/>
  <c r="AE27" i="1"/>
  <c r="AG27" i="1"/>
  <c r="AI27" i="1"/>
  <c r="AK27" i="1"/>
  <c r="AC27" i="4"/>
  <c r="AG27" i="4"/>
  <c r="AK27" i="4"/>
  <c r="AA27" i="4"/>
  <c r="AA36" i="4" s="1"/>
  <c r="AE27" i="4"/>
  <c r="AI27" i="4"/>
  <c r="AE36" i="4"/>
  <c r="AG36" i="4"/>
  <c r="AH36" i="4"/>
  <c r="AD36" i="4"/>
  <c r="Z36" i="4"/>
  <c r="C27" i="4"/>
  <c r="E27" i="4"/>
  <c r="G27" i="4"/>
  <c r="I27" i="4"/>
  <c r="K27" i="4"/>
  <c r="M27" i="4"/>
  <c r="O27" i="4"/>
  <c r="Q27" i="4"/>
  <c r="S27" i="4"/>
  <c r="U27" i="4"/>
  <c r="W27" i="4"/>
  <c r="Y27" i="4"/>
  <c r="D27" i="4"/>
  <c r="F27" i="4"/>
  <c r="H27" i="4"/>
  <c r="J27" i="4"/>
  <c r="L27" i="4"/>
  <c r="N27" i="4"/>
  <c r="P27" i="4"/>
  <c r="R27" i="4"/>
  <c r="T27" i="4"/>
  <c r="V27" i="4"/>
  <c r="X27" i="4"/>
  <c r="B27" i="4"/>
  <c r="C26" i="4"/>
  <c r="C36" i="4" s="1"/>
  <c r="E26" i="4"/>
  <c r="E36" i="4" s="1"/>
  <c r="G26" i="4"/>
  <c r="I26" i="4"/>
  <c r="K26" i="4"/>
  <c r="M26" i="4"/>
  <c r="O26" i="4"/>
  <c r="Q26" i="4"/>
  <c r="S26" i="4"/>
  <c r="U26" i="4"/>
  <c r="W26" i="4"/>
  <c r="Y26" i="4"/>
  <c r="D26" i="4"/>
  <c r="D36" i="4" s="1"/>
  <c r="F26" i="4"/>
  <c r="H26" i="4"/>
  <c r="J26" i="4"/>
  <c r="L26" i="4"/>
  <c r="N26" i="4"/>
  <c r="P26" i="4"/>
  <c r="R26" i="4"/>
  <c r="T26" i="4"/>
  <c r="V26" i="4"/>
  <c r="X26" i="4"/>
  <c r="B26" i="4"/>
  <c r="B36" i="4" s="1"/>
  <c r="N26" i="1"/>
  <c r="P26" i="1"/>
  <c r="R26" i="1"/>
  <c r="T26" i="1"/>
  <c r="V26" i="1"/>
  <c r="X26" i="1"/>
  <c r="D26" i="1"/>
  <c r="F26" i="1"/>
  <c r="H26" i="1"/>
  <c r="J26" i="1"/>
  <c r="L26" i="1"/>
  <c r="B26" i="1"/>
  <c r="O26" i="1"/>
  <c r="Q26" i="1"/>
  <c r="S26" i="1"/>
  <c r="U26" i="1"/>
  <c r="W26" i="1"/>
  <c r="Y26" i="1"/>
  <c r="C26" i="1"/>
  <c r="E26" i="1"/>
  <c r="G26" i="1"/>
  <c r="I26" i="1"/>
  <c r="K26" i="1"/>
  <c r="M26" i="1"/>
  <c r="N27" i="1"/>
  <c r="P27" i="1"/>
  <c r="R27" i="1"/>
  <c r="T27" i="1"/>
  <c r="V27" i="1"/>
  <c r="X27" i="1"/>
  <c r="D27" i="1"/>
  <c r="F27" i="1"/>
  <c r="H27" i="1"/>
  <c r="J27" i="1"/>
  <c r="L27" i="1"/>
  <c r="B27" i="1"/>
  <c r="O27" i="1"/>
  <c r="Q27" i="1"/>
  <c r="S27" i="1"/>
  <c r="U27" i="1"/>
  <c r="W27" i="1"/>
  <c r="Y27" i="1"/>
  <c r="C27" i="1"/>
  <c r="E27" i="1"/>
  <c r="G27" i="1"/>
  <c r="I27" i="1"/>
  <c r="K27" i="1"/>
  <c r="M27" i="1"/>
  <c r="K20" i="1"/>
  <c r="E36" i="1" l="1"/>
  <c r="E38" i="1" s="1"/>
  <c r="AK36" i="4"/>
  <c r="AC36" i="4"/>
  <c r="AI36" i="4"/>
  <c r="AJ36" i="4"/>
  <c r="AF36" i="4"/>
  <c r="AB36" i="4"/>
  <c r="AI36" i="1"/>
  <c r="AI38" i="1" s="1"/>
  <c r="AE36" i="1"/>
  <c r="AE38" i="1" s="1"/>
  <c r="AA36" i="1"/>
  <c r="AA38" i="1" s="1"/>
  <c r="AH36" i="1"/>
  <c r="AH38" i="1" s="1"/>
  <c r="AD36" i="1"/>
  <c r="AD38" i="1" s="1"/>
  <c r="Z36" i="1"/>
  <c r="Z38" i="1" s="1"/>
  <c r="AK36" i="1"/>
  <c r="AK38" i="1" s="1"/>
  <c r="AG36" i="1"/>
  <c r="AG38" i="1" s="1"/>
  <c r="AC36" i="1"/>
  <c r="AC38" i="1" s="1"/>
  <c r="AJ36" i="1"/>
  <c r="AJ38" i="1" s="1"/>
  <c r="AF36" i="1"/>
  <c r="AF38" i="1" s="1"/>
  <c r="AB36" i="1"/>
  <c r="AB38" i="1" s="1"/>
  <c r="AC6" i="4"/>
  <c r="AG6" i="4"/>
  <c r="AK6" i="4"/>
  <c r="AB6" i="4"/>
  <c r="AF6" i="4"/>
  <c r="AJ6" i="4"/>
  <c r="AA6" i="4"/>
  <c r="AE6" i="4"/>
  <c r="AI6" i="4"/>
  <c r="Z6" i="4"/>
  <c r="AD6" i="4"/>
  <c r="AH6" i="4"/>
  <c r="B36" i="1"/>
  <c r="B38" i="1" s="1"/>
  <c r="B39" i="1" s="1"/>
  <c r="C36" i="1"/>
  <c r="C38" i="1" s="1"/>
  <c r="D36" i="1"/>
  <c r="D38" i="1" s="1"/>
  <c r="F36" i="4"/>
  <c r="H21" i="4"/>
  <c r="H36" i="4" s="1"/>
  <c r="J21" i="4"/>
  <c r="J36" i="4" s="1"/>
  <c r="L21" i="4"/>
  <c r="L36" i="4" s="1"/>
  <c r="N21" i="4"/>
  <c r="N36" i="4" s="1"/>
  <c r="P21" i="4"/>
  <c r="P36" i="4" s="1"/>
  <c r="R21" i="4"/>
  <c r="R36" i="4" s="1"/>
  <c r="T21" i="4"/>
  <c r="T36" i="4" s="1"/>
  <c r="V21" i="4"/>
  <c r="V36" i="4" s="1"/>
  <c r="X21" i="4"/>
  <c r="X36" i="4" s="1"/>
  <c r="G21" i="4"/>
  <c r="G36" i="4" s="1"/>
  <c r="I21" i="4"/>
  <c r="I36" i="4" s="1"/>
  <c r="K21" i="4"/>
  <c r="K36" i="4" s="1"/>
  <c r="M21" i="4"/>
  <c r="M36" i="4" s="1"/>
  <c r="O21" i="4"/>
  <c r="O36" i="4" s="1"/>
  <c r="Q21" i="4"/>
  <c r="Q36" i="4" s="1"/>
  <c r="S21" i="4"/>
  <c r="S36" i="4" s="1"/>
  <c r="U21" i="4"/>
  <c r="U36" i="4" s="1"/>
  <c r="W21" i="4"/>
  <c r="W36" i="4" s="1"/>
  <c r="Y21" i="4"/>
  <c r="Y36" i="4" s="1"/>
  <c r="H20" i="1"/>
  <c r="P20" i="1"/>
  <c r="X20" i="1"/>
  <c r="L20" i="1"/>
  <c r="T20" i="1"/>
  <c r="F20" i="1"/>
  <c r="Y20" i="1"/>
  <c r="R20" i="1"/>
  <c r="J20" i="1"/>
  <c r="U20" i="1"/>
  <c r="Q20" i="1"/>
  <c r="M20" i="1"/>
  <c r="I20" i="1"/>
  <c r="G20" i="1"/>
  <c r="V20" i="1"/>
  <c r="N20" i="1"/>
  <c r="W20" i="1"/>
  <c r="S20" i="1"/>
  <c r="O20" i="1"/>
  <c r="G21" i="1"/>
  <c r="I21" i="1"/>
  <c r="K21" i="1"/>
  <c r="K36" i="1" s="1"/>
  <c r="M21" i="1"/>
  <c r="O21" i="1"/>
  <c r="Q21" i="1"/>
  <c r="S21" i="1"/>
  <c r="U21" i="1"/>
  <c r="W21" i="1"/>
  <c r="Y21" i="1"/>
  <c r="H21" i="1"/>
  <c r="J21" i="1"/>
  <c r="L21" i="1"/>
  <c r="N21" i="1"/>
  <c r="P21" i="1"/>
  <c r="R21" i="1"/>
  <c r="T21" i="1"/>
  <c r="V21" i="1"/>
  <c r="X21" i="1"/>
  <c r="F21" i="1"/>
  <c r="C39" i="1" l="1"/>
  <c r="AH38" i="4"/>
  <c r="AH60" i="4" s="1"/>
  <c r="AH7" i="4"/>
  <c r="Z38" i="4"/>
  <c r="Z60" i="4" s="1"/>
  <c r="Z7" i="4"/>
  <c r="AE38" i="4"/>
  <c r="AE60" i="4" s="1"/>
  <c r="AE7" i="4"/>
  <c r="AJ38" i="4"/>
  <c r="AJ60" i="4" s="1"/>
  <c r="AJ7" i="4"/>
  <c r="AB38" i="4"/>
  <c r="AB60" i="4" s="1"/>
  <c r="AB7" i="4"/>
  <c r="AG38" i="4"/>
  <c r="AG60" i="4" s="1"/>
  <c r="AG7" i="4"/>
  <c r="AD38" i="4"/>
  <c r="AD60" i="4" s="1"/>
  <c r="AD7" i="4"/>
  <c r="AI38" i="4"/>
  <c r="AI60" i="4" s="1"/>
  <c r="AI7" i="4"/>
  <c r="AA38" i="4"/>
  <c r="AA60" i="4" s="1"/>
  <c r="AA7" i="4"/>
  <c r="AF38" i="4"/>
  <c r="AF60" i="4" s="1"/>
  <c r="AF7" i="4"/>
  <c r="AK38" i="4"/>
  <c r="AK60" i="4" s="1"/>
  <c r="AK7" i="4"/>
  <c r="AC38" i="4"/>
  <c r="AC60" i="4" s="1"/>
  <c r="AC7" i="4"/>
  <c r="O36" i="1"/>
  <c r="W36" i="1"/>
  <c r="D39" i="1"/>
  <c r="E39" i="1" s="1"/>
  <c r="X36" i="1"/>
  <c r="H36" i="1"/>
  <c r="V36" i="1"/>
  <c r="I36" i="1"/>
  <c r="Q36" i="1"/>
  <c r="J36" i="1"/>
  <c r="Y36" i="1"/>
  <c r="T36" i="1"/>
  <c r="S36" i="1"/>
  <c r="N36" i="1"/>
  <c r="G36" i="1"/>
  <c r="M36" i="1"/>
  <c r="U36" i="1"/>
  <c r="R36" i="1"/>
  <c r="R38" i="1" s="1"/>
  <c r="F36" i="1"/>
  <c r="L36" i="1"/>
  <c r="L38" i="1" s="1"/>
  <c r="P36" i="1"/>
  <c r="Q38" i="1"/>
  <c r="Y38" i="1"/>
  <c r="M38" i="1"/>
  <c r="N38" i="1"/>
  <c r="F38" i="1"/>
  <c r="G38" i="1"/>
  <c r="O38" i="1"/>
  <c r="V38" i="1"/>
  <c r="J38" i="1"/>
  <c r="X38" i="1"/>
  <c r="H38" i="1"/>
  <c r="P38" i="1"/>
  <c r="K38" i="1"/>
  <c r="U38" i="1"/>
  <c r="S38" i="1"/>
  <c r="I38" i="1"/>
  <c r="T38" i="1"/>
  <c r="W38" i="1"/>
  <c r="B40" i="1"/>
  <c r="F39" i="1" l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B42" i="1"/>
  <c r="P6" i="4"/>
  <c r="T6" i="4"/>
  <c r="X6" i="4"/>
  <c r="Q6" i="4"/>
  <c r="U6" i="4"/>
  <c r="Y6" i="4"/>
  <c r="K6" i="4"/>
  <c r="G6" i="4"/>
  <c r="C6" i="4"/>
  <c r="J6" i="4"/>
  <c r="F6" i="4"/>
  <c r="B6" i="4"/>
  <c r="N6" i="4"/>
  <c r="R6" i="4"/>
  <c r="V6" i="4"/>
  <c r="O6" i="4"/>
  <c r="S6" i="4"/>
  <c r="W6" i="4"/>
  <c r="M6" i="4"/>
  <c r="I6" i="4"/>
  <c r="E6" i="4"/>
  <c r="L6" i="4"/>
  <c r="H6" i="4"/>
  <c r="D6" i="4"/>
  <c r="D38" i="4" l="1"/>
  <c r="W38" i="4"/>
  <c r="W60" i="4" s="1"/>
  <c r="W7" i="4"/>
  <c r="J38" i="4"/>
  <c r="J60" i="4" s="1"/>
  <c r="J7" i="4"/>
  <c r="L38" i="4"/>
  <c r="L60" i="4" s="1"/>
  <c r="L7" i="4"/>
  <c r="I38" i="4"/>
  <c r="I60" i="4" s="1"/>
  <c r="I7" i="4"/>
  <c r="O38" i="4"/>
  <c r="O60" i="4" s="1"/>
  <c r="O7" i="4"/>
  <c r="R38" i="4"/>
  <c r="R60" i="4" s="1"/>
  <c r="R7" i="4"/>
  <c r="B38" i="4"/>
  <c r="B39" i="4" s="1"/>
  <c r="G38" i="4"/>
  <c r="G60" i="4" s="1"/>
  <c r="G7" i="4"/>
  <c r="Y38" i="4"/>
  <c r="Y60" i="4" s="1"/>
  <c r="Y7" i="4"/>
  <c r="Q38" i="4"/>
  <c r="Q60" i="4" s="1"/>
  <c r="Q7" i="4"/>
  <c r="T38" i="4"/>
  <c r="T60" i="4" s="1"/>
  <c r="T7" i="4"/>
  <c r="H38" i="4"/>
  <c r="H60" i="4" s="1"/>
  <c r="H7" i="4"/>
  <c r="E38" i="4"/>
  <c r="E60" i="4" s="1"/>
  <c r="M38" i="4"/>
  <c r="M60" i="4" s="1"/>
  <c r="M7" i="4"/>
  <c r="S38" i="4"/>
  <c r="S60" i="4" s="1"/>
  <c r="S7" i="4"/>
  <c r="V38" i="4"/>
  <c r="V60" i="4" s="1"/>
  <c r="V7" i="4"/>
  <c r="N38" i="4"/>
  <c r="N60" i="4" s="1"/>
  <c r="N7" i="4"/>
  <c r="F38" i="4"/>
  <c r="F60" i="4" s="1"/>
  <c r="F7" i="4"/>
  <c r="C38" i="4"/>
  <c r="C39" i="4" s="1"/>
  <c r="D39" i="4" s="1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K38" i="4"/>
  <c r="K60" i="4" s="1"/>
  <c r="K7" i="4"/>
  <c r="U38" i="4"/>
  <c r="U60" i="4" s="1"/>
  <c r="U7" i="4"/>
  <c r="X38" i="4"/>
  <c r="X60" i="4" s="1"/>
  <c r="X7" i="4"/>
  <c r="P38" i="4"/>
  <c r="P60" i="4" s="1"/>
  <c r="P7" i="4"/>
  <c r="C60" i="4"/>
  <c r="D60" i="4"/>
  <c r="B60" i="4"/>
  <c r="B61" i="4" s="1"/>
  <c r="B40" i="4"/>
  <c r="C61" i="4" l="1"/>
  <c r="D61" i="4" s="1"/>
  <c r="E61" i="4" s="1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P61" i="4" s="1"/>
  <c r="Q61" i="4" s="1"/>
  <c r="R61" i="4" s="1"/>
  <c r="S61" i="4" s="1"/>
  <c r="T61" i="4" s="1"/>
  <c r="U61" i="4" s="1"/>
  <c r="V61" i="4" s="1"/>
  <c r="W61" i="4" s="1"/>
  <c r="X61" i="4" s="1"/>
  <c r="Y61" i="4" s="1"/>
  <c r="Z61" i="4" s="1"/>
  <c r="AA61" i="4" s="1"/>
  <c r="AB61" i="4" s="1"/>
  <c r="AC61" i="4" s="1"/>
  <c r="AD61" i="4" s="1"/>
  <c r="AE61" i="4" s="1"/>
  <c r="AF61" i="4" s="1"/>
  <c r="AG61" i="4" s="1"/>
  <c r="AH61" i="4" s="1"/>
  <c r="AI61" i="4" s="1"/>
  <c r="AJ61" i="4" s="1"/>
  <c r="AK61" i="4" s="1"/>
  <c r="B66" i="4"/>
  <c r="B64" i="4"/>
  <c r="B62" i="4"/>
</calcChain>
</file>

<file path=xl/comments1.xml><?xml version="1.0" encoding="utf-8"?>
<comments xmlns="http://schemas.openxmlformats.org/spreadsheetml/2006/main">
  <authors>
    <author>Alex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Alex:</t>
        </r>
        <r>
          <rPr>
            <sz val="9"/>
            <color indexed="81"/>
            <rFont val="Tahoma"/>
            <family val="2"/>
          </rPr>
          <t xml:space="preserve">
http://www.aps.com/images/pdf/EnergyCost.pdf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Alex:</t>
        </r>
        <r>
          <rPr>
            <sz val="9"/>
            <color indexed="81"/>
            <rFont val="Tahoma"/>
            <family val="2"/>
          </rPr>
          <t xml:space="preserve">
http://wiki.answers.com/Q/What_is_the_cost_of_water_per_gallon_in_Los_Angeles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Alex:</t>
        </r>
        <r>
          <rPr>
            <sz val="9"/>
            <color indexed="81"/>
            <rFont val="Tahoma"/>
            <family val="2"/>
          </rPr>
          <t xml:space="preserve">
http://www.aps.com/images/pdf/EnergyCost.pdf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Alex:</t>
        </r>
        <r>
          <rPr>
            <sz val="9"/>
            <color indexed="81"/>
            <rFont val="Tahoma"/>
            <family val="2"/>
          </rPr>
          <t xml:space="preserve">
http://wiki.answers.com/Q/What_is_the_cost_of_water_per_gallon_in_Los_Angeles</t>
        </r>
      </text>
    </comment>
  </commentList>
</comments>
</file>

<file path=xl/sharedStrings.xml><?xml version="1.0" encoding="utf-8"?>
<sst xmlns="http://schemas.openxmlformats.org/spreadsheetml/2006/main" count="288" uniqueCount="198">
  <si>
    <t>Revenues</t>
  </si>
  <si>
    <t>Month</t>
  </si>
  <si>
    <t>First Year of Operations</t>
  </si>
  <si>
    <t>Expenses</t>
  </si>
  <si>
    <t>Furniture</t>
  </si>
  <si>
    <t>IT Infrastructure</t>
  </si>
  <si>
    <t>Supplies/Toys/Crafts</t>
  </si>
  <si>
    <t>Labor:</t>
  </si>
  <si>
    <t>Readying the Office:</t>
  </si>
  <si>
    <t>Readying the Daycare Center:</t>
  </si>
  <si>
    <t>Daycare Professionals</t>
  </si>
  <si>
    <t>IT support</t>
  </si>
  <si>
    <t>Janitorial</t>
  </si>
  <si>
    <t>Electricity</t>
  </si>
  <si>
    <t>Water</t>
  </si>
  <si>
    <t>Trash</t>
  </si>
  <si>
    <t>Operating Expenses:</t>
  </si>
  <si>
    <t>Total Expenses</t>
  </si>
  <si>
    <t>Remodeling</t>
  </si>
  <si>
    <t>Daycare Professional Labor</t>
  </si>
  <si>
    <t>/Hour</t>
  </si>
  <si>
    <t>Hours Open / Day</t>
  </si>
  <si>
    <t>Lease</t>
  </si>
  <si>
    <t>Supplies/Printers</t>
  </si>
  <si>
    <t># of Daycare Professionals</t>
  </si>
  <si>
    <t>State Application</t>
  </si>
  <si>
    <t>Daycare Manager</t>
  </si>
  <si>
    <t>Daycare Manager Labor</t>
  </si>
  <si>
    <t>Daycare Fees</t>
  </si>
  <si>
    <t>Hourly Rentals Office</t>
  </si>
  <si>
    <t>Office Manager</t>
  </si>
  <si>
    <t>Office Manager Labor</t>
  </si>
  <si>
    <t>Assumptions:</t>
  </si>
  <si>
    <t>Based in Palms/Culver City</t>
  </si>
  <si>
    <t>Marketing Expenses:</t>
  </si>
  <si>
    <t>Montly Electricity Costs / SF</t>
  </si>
  <si>
    <t>Square Feet</t>
  </si>
  <si>
    <t>Monthly Lease Cost /SF</t>
  </si>
  <si>
    <t>Monthly Water Costs / 50 People</t>
  </si>
  <si>
    <t>BlankSpaces</t>
  </si>
  <si>
    <t>Occupancy</t>
  </si>
  <si>
    <t>dedicated offices</t>
  </si>
  <si>
    <t>communal work stations</t>
  </si>
  <si>
    <t>medium conference room</t>
  </si>
  <si>
    <t>large conference room</t>
  </si>
  <si>
    <t>work café</t>
  </si>
  <si>
    <t>meeting room</t>
  </si>
  <si>
    <t>a</t>
  </si>
  <si>
    <t>Hours</t>
  </si>
  <si>
    <t>Total Revenue/Hour</t>
  </si>
  <si>
    <t>Office Hourly Rate at 100% Occupancy</t>
  </si>
  <si>
    <t>Office Daily Rate at 100% Occupancy</t>
  </si>
  <si>
    <t>Office Monthly Rate at 100% Occupancy</t>
  </si>
  <si>
    <t>Permits</t>
  </si>
  <si>
    <t>Design</t>
  </si>
  <si>
    <t>Remodel ($/ft^2)</t>
  </si>
  <si>
    <t>Furniture (per user)</t>
  </si>
  <si>
    <t>Office Capacity</t>
  </si>
  <si>
    <t>Total Square Feet</t>
  </si>
  <si>
    <t>Daycare Ft^2</t>
  </si>
  <si>
    <t>Internet</t>
  </si>
  <si>
    <t>Total Capital Required</t>
  </si>
  <si>
    <t>Break-even Point</t>
  </si>
  <si>
    <t>9 months</t>
  </si>
  <si>
    <t>IRR</t>
  </si>
  <si>
    <t>Office Ft^2</t>
  </si>
  <si>
    <t>Office Utilization %:</t>
  </si>
  <si>
    <t>Daycare Utilization %:</t>
  </si>
  <si>
    <t>Daycare cost / child / hour</t>
  </si>
  <si>
    <t>Total Capacity</t>
  </si>
  <si>
    <t>Maximum Daily Revenue</t>
  </si>
  <si>
    <t>Maximum Monthly Revenue</t>
  </si>
  <si>
    <t>7 months</t>
  </si>
  <si>
    <t>DAYCARE INPUTS</t>
  </si>
  <si>
    <t>OFFICE INPUTS</t>
  </si>
  <si>
    <t>INPUTS RELATING TO BOTH</t>
  </si>
  <si>
    <t>Cost ($)</t>
  </si>
  <si>
    <t>$/Hours</t>
  </si>
  <si>
    <t>Capacity</t>
  </si>
  <si>
    <t>Max Hourly Revenue for 90 person office</t>
  </si>
  <si>
    <t>Ft^2 per office worker</t>
  </si>
  <si>
    <t>Days Open / Month</t>
  </si>
  <si>
    <t>2 gallons x 4 flushes/day x  people x days x $0.039/gallon</t>
  </si>
  <si>
    <t>Age Groups</t>
  </si>
  <si>
    <t>Ages</t>
  </si>
  <si>
    <t>Child:Staff Ratio</t>
  </si>
  <si>
    <t>Max Group Size</t>
  </si>
  <si>
    <t>Price Per Hour</t>
  </si>
  <si>
    <t>Infants</t>
  </si>
  <si>
    <t>0-1</t>
  </si>
  <si>
    <t>Toddlers</t>
  </si>
  <si>
    <t>1-2.5</t>
  </si>
  <si>
    <t>Preschoolers</t>
  </si>
  <si>
    <t>3-5</t>
  </si>
  <si>
    <t>School Age</t>
  </si>
  <si>
    <t>6-10</t>
  </si>
  <si>
    <t>App. Fee</t>
  </si>
  <si>
    <t>Annual Fee</t>
  </si>
  <si>
    <t>1-30</t>
  </si>
  <si>
    <t>31-60</t>
  </si>
  <si>
    <t>61-75</t>
  </si>
  <si>
    <t>76-90</t>
  </si>
  <si>
    <t>91-120</t>
  </si>
  <si>
    <t>121+</t>
  </si>
  <si>
    <t>Position</t>
  </si>
  <si>
    <t>Hourly Pay</t>
  </si>
  <si>
    <t>Lead Teacher</t>
  </si>
  <si>
    <t>Assistant Teacher</t>
  </si>
  <si>
    <t>Traditional daycare</t>
  </si>
  <si>
    <t>Monthly rate</t>
  </si>
  <si>
    <t>Days per month</t>
  </si>
  <si>
    <t>Hours per month</t>
  </si>
  <si>
    <t>Hourly rate</t>
  </si>
  <si>
    <t>Hourly rate for on-demand care</t>
  </si>
  <si>
    <t>Premium charged for on-demand care</t>
  </si>
  <si>
    <t>5 days/week</t>
  </si>
  <si>
    <t>3 days/week</t>
  </si>
  <si>
    <t>Typical length of daycare:</t>
  </si>
  <si>
    <t>hours/day</t>
  </si>
  <si>
    <t>Proposed monthly membership:</t>
  </si>
  <si>
    <t>Proposed hourly rate:</t>
  </si>
  <si>
    <t>Scenario analysis</t>
  </si>
  <si>
    <t>Days/week</t>
  </si>
  <si>
    <t>Hours/day</t>
  </si>
  <si>
    <t>Days/month</t>
  </si>
  <si>
    <t>Hours/month</t>
  </si>
  <si>
    <t>Total paid for hours</t>
  </si>
  <si>
    <t>Total paid incl membership</t>
  </si>
  <si>
    <t>Equiv hourly rate</t>
  </si>
  <si>
    <t>Permits ($/ft^2)</t>
  </si>
  <si>
    <t>Design ($/ft^2)</t>
  </si>
  <si>
    <t>Supplies/Toys</t>
  </si>
  <si>
    <t>Trash ($/ft^2)</t>
  </si>
  <si>
    <t>Janitorial ($/ft^2)</t>
  </si>
  <si>
    <t>Marketing/month</t>
  </si>
  <si>
    <t>IT infrastructure</t>
  </si>
  <si>
    <t>General Manager</t>
  </si>
  <si>
    <t>General Manager salary</t>
  </si>
  <si>
    <t>Monthly internet</t>
  </si>
  <si>
    <t>Monthly IT Support</t>
  </si>
  <si>
    <t>11 months</t>
  </si>
  <si>
    <t>TOTAL FOR BOTH</t>
  </si>
  <si>
    <t>Break-even point</t>
  </si>
  <si>
    <t>NPV</t>
  </si>
  <si>
    <t>Discount Rate</t>
  </si>
  <si>
    <t>Total # unique users</t>
  </si>
  <si>
    <t>Office Hours Used in Month</t>
  </si>
  <si>
    <t>Average office hours used by member/mo</t>
  </si>
  <si>
    <t>12 days/mo, 6 hrs each time</t>
  </si>
  <si>
    <t>% market penetration</t>
  </si>
  <si>
    <t>TAM</t>
  </si>
  <si>
    <t>Daycare hours used in month</t>
  </si>
  <si>
    <t>Average daycare hours used by member/mo</t>
  </si>
  <si>
    <t>Total # Unique Users</t>
  </si>
  <si>
    <t>Payroll tax burden</t>
  </si>
  <si>
    <t>(+tax)</t>
  </si>
  <si>
    <t>Liability Insurance</t>
  </si>
  <si>
    <t>Incremental Gross Profits</t>
  </si>
  <si>
    <t>Spend per user</t>
  </si>
  <si>
    <t>Spend per user per hour</t>
  </si>
  <si>
    <t xml:space="preserve">Current </t>
  </si>
  <si>
    <t>Investor</t>
  </si>
  <si>
    <t>Valuation</t>
  </si>
  <si>
    <t>Founder Equity</t>
  </si>
  <si>
    <t>Founder Investment</t>
  </si>
  <si>
    <t>Annual Gross Profits</t>
  </si>
  <si>
    <t>After-tax NI</t>
  </si>
  <si>
    <t>Tax rate</t>
  </si>
  <si>
    <t>Valuation multiple, NI</t>
  </si>
  <si>
    <t>Sale, 12/1/2014</t>
  </si>
  <si>
    <t>Option 1: Pure share of ownership, they get % net income</t>
  </si>
  <si>
    <t>Option 2: Equity investment, only get return when company is sold</t>
  </si>
  <si>
    <t>Investment/Return</t>
  </si>
  <si>
    <t>Investor Loan</t>
  </si>
  <si>
    <t>Gross Profit</t>
  </si>
  <si>
    <t xml:space="preserve">Option 3: Loan </t>
  </si>
  <si>
    <t>Rate</t>
  </si>
  <si>
    <t>Loan Repayment</t>
  </si>
  <si>
    <t>Profit</t>
  </si>
  <si>
    <t>Months</t>
  </si>
  <si>
    <t>Gross Profit After Tax</t>
  </si>
  <si>
    <t>Founder Share</t>
  </si>
  <si>
    <t>Investor Share</t>
  </si>
  <si>
    <t>Founder IRR</t>
  </si>
  <si>
    <t>Investor IRR</t>
  </si>
  <si>
    <t>Founder NPV</t>
  </si>
  <si>
    <t>Discount rate</t>
  </si>
  <si>
    <t>Cumulative Profits/Losses</t>
  </si>
  <si>
    <t>Cumulative Gross Profits/Losses</t>
  </si>
  <si>
    <t>COGS</t>
  </si>
  <si>
    <t>Net Profit</t>
  </si>
  <si>
    <t>SG&amp;A Expenses</t>
  </si>
  <si>
    <t>9+</t>
  </si>
  <si>
    <t>Office Profit &amp; Loss</t>
  </si>
  <si>
    <t>Office CapEx</t>
  </si>
  <si>
    <t>Daycare Profit &amp; Loss</t>
  </si>
  <si>
    <t>Combined P&amp;L</t>
  </si>
  <si>
    <t>Combined 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</si>
</sst>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quotePrefix="1"/>
    <xf numFmtId="6" fontId="0" fillId="0" borderId="0" xfId="0" applyNumberFormat="1" applyFill="1"/>
    <xf numFmtId="164" fontId="0" fillId="0" borderId="0" xfId="1" applyNumberFormat="1" applyFont="1"/>
    <xf numFmtId="0" fontId="0" fillId="0" borderId="0" xfId="0" applyFill="1"/>
    <xf numFmtId="0" fontId="2" fillId="0" borderId="0" xfId="0" applyFont="1" applyFill="1"/>
    <xf numFmtId="0" fontId="0" fillId="0" borderId="0" xfId="0" quotePrefix="1" applyFill="1"/>
    <xf numFmtId="8" fontId="0" fillId="0" borderId="0" xfId="0" applyNumberFormat="1" applyFill="1"/>
    <xf numFmtId="0" fontId="6" fillId="0" borderId="0" xfId="0" applyFont="1"/>
    <xf numFmtId="6" fontId="6" fillId="0" borderId="0" xfId="0" applyNumberFormat="1" applyFont="1" applyFill="1"/>
    <xf numFmtId="44" fontId="6" fillId="0" borderId="0" xfId="1" applyFont="1" applyFill="1"/>
    <xf numFmtId="0" fontId="6" fillId="0" borderId="0" xfId="0" applyFont="1" applyFill="1"/>
    <xf numFmtId="0" fontId="5" fillId="0" borderId="0" xfId="0" applyFont="1" applyFill="1"/>
    <xf numFmtId="1" fontId="6" fillId="0" borderId="0" xfId="0" applyNumberFormat="1" applyFont="1" applyFill="1"/>
    <xf numFmtId="44" fontId="5" fillId="0" borderId="0" xfId="1" applyFont="1" applyFill="1"/>
    <xf numFmtId="164" fontId="6" fillId="0" borderId="0" xfId="1" applyNumberFormat="1" applyFont="1" applyFill="1"/>
    <xf numFmtId="0" fontId="0" fillId="0" borderId="0" xfId="0" applyAlignment="1">
      <alignment vertical="center"/>
    </xf>
    <xf numFmtId="49" fontId="0" fillId="0" borderId="0" xfId="0" applyNumberFormat="1"/>
    <xf numFmtId="6" fontId="0" fillId="2" borderId="0" xfId="0" applyNumberFormat="1" applyFill="1"/>
    <xf numFmtId="8" fontId="0" fillId="0" borderId="0" xfId="0" applyNumberFormat="1"/>
    <xf numFmtId="0" fontId="0" fillId="2" borderId="0" xfId="0" applyFill="1"/>
    <xf numFmtId="6" fontId="0" fillId="0" borderId="0" xfId="0" applyNumberFormat="1"/>
    <xf numFmtId="44" fontId="0" fillId="0" borderId="0" xfId="0" applyNumberFormat="1" applyFill="1"/>
    <xf numFmtId="9" fontId="6" fillId="0" borderId="0" xfId="0" applyNumberFormat="1" applyFont="1" applyFill="1"/>
    <xf numFmtId="164" fontId="6" fillId="0" borderId="0" xfId="1" applyNumberFormat="1" applyFont="1"/>
    <xf numFmtId="44" fontId="6" fillId="0" borderId="0" xfId="1" applyFont="1"/>
    <xf numFmtId="44" fontId="6" fillId="0" borderId="0" xfId="1" applyNumberFormat="1" applyFont="1" applyFill="1"/>
    <xf numFmtId="164" fontId="0" fillId="0" borderId="0" xfId="0" applyNumberFormat="1"/>
    <xf numFmtId="1" fontId="5" fillId="0" borderId="0" xfId="0" applyNumberFormat="1" applyFont="1" applyFill="1"/>
    <xf numFmtId="9" fontId="5" fillId="0" borderId="0" xfId="2" applyFont="1" applyFill="1"/>
    <xf numFmtId="44" fontId="0" fillId="0" borderId="0" xfId="1" applyFont="1"/>
    <xf numFmtId="14" fontId="0" fillId="0" borderId="0" xfId="0" applyNumberFormat="1"/>
    <xf numFmtId="165" fontId="0" fillId="0" borderId="0" xfId="2" applyNumberFormat="1" applyFont="1"/>
    <xf numFmtId="165" fontId="6" fillId="0" borderId="0" xfId="2" applyNumberFormat="1" applyFont="1"/>
    <xf numFmtId="2" fontId="6" fillId="0" borderId="0" xfId="2" applyNumberFormat="1" applyFont="1"/>
    <xf numFmtId="9" fontId="6" fillId="0" borderId="0" xfId="2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1st Year Income Profile (by Month)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'Office P&amp;L'!$A$60</c:f>
              <c:strCache>
                <c:ptCount val="1"/>
                <c:pt idx="0">
                  <c:v>Incremental Gross Profits</c:v>
                </c:pt>
              </c:strCache>
            </c:strRef>
          </c:tx>
          <c:marker>
            <c:symbol val="none"/>
          </c:marker>
          <c:val>
            <c:numRef>
              <c:f>'Office P&amp;L'!$B$60:$M$60</c:f>
              <c:numCache>
                <c:formatCode>_("$"* #,##0_);_("$"* \(#,##0\);_("$"* "-"??_);_(@_)</c:formatCode>
                <c:ptCount val="12"/>
                <c:pt idx="0">
                  <c:v>-34826.433333333334</c:v>
                </c:pt>
                <c:pt idx="1">
                  <c:v>-34826.433333333334</c:v>
                </c:pt>
                <c:pt idx="2">
                  <c:v>-147326.43333333335</c:v>
                </c:pt>
                <c:pt idx="3">
                  <c:v>-242766.43333333335</c:v>
                </c:pt>
                <c:pt idx="4">
                  <c:v>7424.3666666666722</c:v>
                </c:pt>
                <c:pt idx="5">
                  <c:v>52820.366666666669</c:v>
                </c:pt>
                <c:pt idx="6">
                  <c:v>98216.366666666669</c:v>
                </c:pt>
                <c:pt idx="7">
                  <c:v>143612.36666666667</c:v>
                </c:pt>
                <c:pt idx="8">
                  <c:v>158276.36666666667</c:v>
                </c:pt>
                <c:pt idx="9">
                  <c:v>158276.36666666667</c:v>
                </c:pt>
                <c:pt idx="10">
                  <c:v>158276.36666666667</c:v>
                </c:pt>
                <c:pt idx="11">
                  <c:v>158276.36666666667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'Office P&amp;L'!$A$61</c:f>
              <c:strCache>
                <c:ptCount val="1"/>
                <c:pt idx="0">
                  <c:v>Cumulative Profits/Losses</c:v>
                </c:pt>
              </c:strCache>
            </c:strRef>
          </c:tx>
          <c:marker>
            <c:symbol val="none"/>
          </c:marker>
          <c:val>
            <c:numRef>
              <c:f>'Office P&amp;L'!$B$61:$M$61</c:f>
              <c:numCache>
                <c:formatCode>_("$"* #,##0_);_("$"* \(#,##0\);_("$"* "-"??_);_(@_)</c:formatCode>
                <c:ptCount val="12"/>
                <c:pt idx="0">
                  <c:v>-34826.433333333334</c:v>
                </c:pt>
                <c:pt idx="1">
                  <c:v>-69652.866666666669</c:v>
                </c:pt>
                <c:pt idx="2">
                  <c:v>-216979.30000000002</c:v>
                </c:pt>
                <c:pt idx="3">
                  <c:v>-459745.7333333334</c:v>
                </c:pt>
                <c:pt idx="4">
                  <c:v>-452321.3666666667</c:v>
                </c:pt>
                <c:pt idx="5">
                  <c:v>-399501</c:v>
                </c:pt>
                <c:pt idx="6">
                  <c:v>-301284.6333333333</c:v>
                </c:pt>
                <c:pt idx="7">
                  <c:v>-157672.26666666663</c:v>
                </c:pt>
                <c:pt idx="8">
                  <c:v>604.10000000003492</c:v>
                </c:pt>
                <c:pt idx="9">
                  <c:v>158880.4666666667</c:v>
                </c:pt>
                <c:pt idx="10">
                  <c:v>317156.83333333337</c:v>
                </c:pt>
                <c:pt idx="11">
                  <c:v>475433.20000000007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9280"/>
        <c:axId val="190130816"/>
      </c:lineChart>
      <c:catAx>
        <c:axId val="190129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130816"/>
        <c:crosses val="autoZero"/>
        <c:auto val="1"/>
        <c:lblAlgn val="ctr"/>
        <c:lblOffset val="100"/>
        <c:noMultiLvlLbl val="0"/>
      </c:catAx>
      <c:valAx>
        <c:axId val="19013081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0129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Office 1st Year Income Profile (by Month)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'Office P&amp;L'!$A$38</c:f>
              <c:strCache>
                <c:ptCount val="1"/>
                <c:pt idx="0">
                  <c:v>Incremental Gross Profits</c:v>
                </c:pt>
              </c:strCache>
            </c:strRef>
          </c:tx>
          <c:marker>
            <c:symbol val="none"/>
          </c:marker>
          <c:val>
            <c:numRef>
              <c:f>'Office P&amp;L'!$B$38:$M$38</c:f>
              <c:numCache>
                <c:formatCode>_("$"* #,##0_);_("$"* \(#,##0\);_("$"* "-"??_);_(@_)</c:formatCode>
                <c:ptCount val="12"/>
                <c:pt idx="0">
                  <c:v>-27439.466666666667</c:v>
                </c:pt>
                <c:pt idx="1">
                  <c:v>-27439.466666666667</c:v>
                </c:pt>
                <c:pt idx="2">
                  <c:v>-117439.46666666667</c:v>
                </c:pt>
                <c:pt idx="3">
                  <c:v>-207439.46666666667</c:v>
                </c:pt>
                <c:pt idx="4">
                  <c:v>10130.133333333335</c:v>
                </c:pt>
                <c:pt idx="5">
                  <c:v>32126.133333333335</c:v>
                </c:pt>
                <c:pt idx="6">
                  <c:v>54122.133333333331</c:v>
                </c:pt>
                <c:pt idx="7">
                  <c:v>76118.133333333331</c:v>
                </c:pt>
                <c:pt idx="8">
                  <c:v>90782.133333333331</c:v>
                </c:pt>
                <c:pt idx="9">
                  <c:v>90782.133333333331</c:v>
                </c:pt>
                <c:pt idx="10">
                  <c:v>90782.133333333331</c:v>
                </c:pt>
                <c:pt idx="11">
                  <c:v>90782.133333333331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'Office P&amp;L'!$A$39</c:f>
              <c:strCache>
                <c:ptCount val="1"/>
                <c:pt idx="0">
                  <c:v>Cumulative Profits/Losses</c:v>
                </c:pt>
              </c:strCache>
            </c:strRef>
          </c:tx>
          <c:marker>
            <c:symbol val="none"/>
          </c:marker>
          <c:val>
            <c:numRef>
              <c:f>'Office P&amp;L'!$B$39:$M$39</c:f>
              <c:numCache>
                <c:formatCode>_("$"* #,##0_);_("$"* \(#,##0\);_("$"* "-"??_);_(@_)</c:formatCode>
                <c:ptCount val="12"/>
                <c:pt idx="0">
                  <c:v>-27439.466666666667</c:v>
                </c:pt>
                <c:pt idx="1">
                  <c:v>-54878.933333333334</c:v>
                </c:pt>
                <c:pt idx="2">
                  <c:v>-172318.40000000002</c:v>
                </c:pt>
                <c:pt idx="3">
                  <c:v>-379757.8666666667</c:v>
                </c:pt>
                <c:pt idx="4">
                  <c:v>-369627.73333333334</c:v>
                </c:pt>
                <c:pt idx="5">
                  <c:v>-337501.6</c:v>
                </c:pt>
                <c:pt idx="6">
                  <c:v>-283379.46666666667</c:v>
                </c:pt>
                <c:pt idx="7">
                  <c:v>-207261.33333333334</c:v>
                </c:pt>
                <c:pt idx="8">
                  <c:v>-116479.20000000001</c:v>
                </c:pt>
                <c:pt idx="9">
                  <c:v>-25697.06666666668</c:v>
                </c:pt>
                <c:pt idx="10">
                  <c:v>65085.066666666651</c:v>
                </c:pt>
                <c:pt idx="11">
                  <c:v>155867.19999999998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2816"/>
        <c:axId val="190164352"/>
      </c:lineChart>
      <c:catAx>
        <c:axId val="19016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164352"/>
        <c:crosses val="autoZero"/>
        <c:auto val="1"/>
        <c:lblAlgn val="ctr"/>
        <c:lblOffset val="100"/>
        <c:noMultiLvlLbl val="0"/>
      </c:catAx>
      <c:valAx>
        <c:axId val="19016435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0162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Daycare 1st Year Income Profile (by Month)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'Daycare P&amp;L'!$A$38</c:f>
              <c:strCache>
                <c:ptCount val="1"/>
                <c:pt idx="0">
                  <c:v>Incremental Gross Profits</c:v>
                </c:pt>
              </c:strCache>
            </c:strRef>
          </c:tx>
          <c:marker>
            <c:symbol val="none"/>
          </c:marker>
          <c:val>
            <c:numRef>
              <c:f>'Daycare P&amp;L'!$B$38:$M$38</c:f>
              <c:numCache>
                <c:formatCode>_("$"* #,##0_);_("$"* \(#,##0\);_("$"* "-"??_);_(@_)</c:formatCode>
                <c:ptCount val="12"/>
                <c:pt idx="0">
                  <c:v>-7386.9666666666672</c:v>
                </c:pt>
                <c:pt idx="1">
                  <c:v>-7386.9666666666672</c:v>
                </c:pt>
                <c:pt idx="2">
                  <c:v>-29886.966666666667</c:v>
                </c:pt>
                <c:pt idx="3">
                  <c:v>-35326.966666666667</c:v>
                </c:pt>
                <c:pt idx="4">
                  <c:v>-2705.7666666666628</c:v>
                </c:pt>
                <c:pt idx="5">
                  <c:v>20694.233333333337</c:v>
                </c:pt>
                <c:pt idx="6">
                  <c:v>44094.233333333337</c:v>
                </c:pt>
                <c:pt idx="7">
                  <c:v>67494.233333333337</c:v>
                </c:pt>
                <c:pt idx="8">
                  <c:v>67494.233333333337</c:v>
                </c:pt>
                <c:pt idx="9">
                  <c:v>67494.233333333337</c:v>
                </c:pt>
                <c:pt idx="10">
                  <c:v>67494.233333333337</c:v>
                </c:pt>
                <c:pt idx="11">
                  <c:v>67494.233333333337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'Daycare P&amp;L'!$A$39</c:f>
              <c:strCache>
                <c:ptCount val="1"/>
                <c:pt idx="0">
                  <c:v>Cumulative Gross Profits/Losses</c:v>
                </c:pt>
              </c:strCache>
            </c:strRef>
          </c:tx>
          <c:marker>
            <c:symbol val="none"/>
          </c:marker>
          <c:val>
            <c:numRef>
              <c:f>'Daycare P&amp;L'!$B$39:$M$39</c:f>
              <c:numCache>
                <c:formatCode>_("$"* #,##0_);_("$"* \(#,##0\);_("$"* "-"??_);_(@_)</c:formatCode>
                <c:ptCount val="12"/>
                <c:pt idx="0">
                  <c:v>-7386.9666666666672</c:v>
                </c:pt>
                <c:pt idx="1">
                  <c:v>-14773.933333333334</c:v>
                </c:pt>
                <c:pt idx="2">
                  <c:v>-44660.9</c:v>
                </c:pt>
                <c:pt idx="3">
                  <c:v>-79987.866666666669</c:v>
                </c:pt>
                <c:pt idx="4">
                  <c:v>-82693.633333333331</c:v>
                </c:pt>
                <c:pt idx="5">
                  <c:v>-61999.399999999994</c:v>
                </c:pt>
                <c:pt idx="6">
                  <c:v>-17905.166666666657</c:v>
                </c:pt>
                <c:pt idx="7">
                  <c:v>49589.06666666668</c:v>
                </c:pt>
                <c:pt idx="8">
                  <c:v>117083.30000000002</c:v>
                </c:pt>
                <c:pt idx="9">
                  <c:v>184577.53333333335</c:v>
                </c:pt>
                <c:pt idx="10">
                  <c:v>252071.76666666669</c:v>
                </c:pt>
                <c:pt idx="11">
                  <c:v>319566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16960"/>
        <c:axId val="193278336"/>
      </c:lineChart>
      <c:catAx>
        <c:axId val="191416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278336"/>
        <c:crosses val="autoZero"/>
        <c:auto val="1"/>
        <c:lblAlgn val="ctr"/>
        <c:lblOffset val="100"/>
        <c:noMultiLvlLbl val="0"/>
      </c:catAx>
      <c:valAx>
        <c:axId val="19327833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1416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634999</xdr:colOff>
      <xdr:row>62</xdr:row>
      <xdr:rowOff>10584</xdr:rowOff>
    </xdr:from>
    <xdr:to>
      <xdr:col>11</xdr:col>
      <xdr:colOff>836083</xdr:colOff>
      <xdr:row>79</xdr:row>
      <xdr:rowOff>179917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222250</xdr:colOff>
      <xdr:row>40</xdr:row>
      <xdr:rowOff>105833</xdr:rowOff>
    </xdr:from>
    <xdr:to>
      <xdr:col>11</xdr:col>
      <xdr:colOff>423334</xdr:colOff>
      <xdr:row>58</xdr:row>
      <xdr:rowOff>84666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0.73451</cdr:x>
      <cdr:y>0.52174</cdr:y>
    </cdr:from>
    <cdr:to>
      <cdr:x>0.79646</cdr:x>
      <cdr:y>0.72981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6200000" flipV="1">
          <a:off x="4392084" y="1777998"/>
          <a:ext cx="370418" cy="70908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0.78584</cdr:x>
      <cdr:y>0.63043</cdr:y>
    </cdr:from>
    <cdr:to>
      <cdr:x>1</cdr:x>
      <cdr:y>0.77019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826001" y="2148417"/>
          <a:ext cx="1280583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00B050"/>
              </a:solidFill>
            </a:rPr>
            <a:t>Break Even Point @ Month 9</a:t>
          </a:r>
        </a:p>
      </cdr:txBody>
    </cdr:sp>
  </cdr:relSizeAnchor>
  <cdr:relSizeAnchor xmlns:cdr="http://schemas.openxmlformats.org/drawingml/2006/chartDrawing">
    <cdr:from>
      <cdr:x>0.1469</cdr:x>
      <cdr:y>0.68944</cdr:y>
    </cdr:from>
    <cdr:to>
      <cdr:x>0.32389</cdr:x>
      <cdr:y>0.87888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78418" y="2349500"/>
          <a:ext cx="1058333" cy="645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Capital Requirement:</a:t>
          </a:r>
        </a:p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$460K</a:t>
          </a:r>
        </a:p>
      </cdr:txBody>
    </cdr:sp>
  </cdr:relSizeAnchor>
  <cdr:relSizeAnchor xmlns:cdr="http://schemas.openxmlformats.org/drawingml/2006/chartDrawing">
    <cdr:from>
      <cdr:x>0.29735</cdr:x>
      <cdr:y>0.79193</cdr:y>
    </cdr:from>
    <cdr:to>
      <cdr:x>0.37168</cdr:x>
      <cdr:y>0.8354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V="1">
          <a:off x="1778001" y="2698749"/>
          <a:ext cx="444500" cy="148167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0.41062</cdr:x>
      <cdr:y>0.15838</cdr:y>
    </cdr:from>
    <cdr:to>
      <cdr:x>0.62478</cdr:x>
      <cdr:y>0.28882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455334" y="539749"/>
          <a:ext cx="1280583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accent6">
                  <a:lumMod val="75000"/>
                </a:schemeClr>
              </a:solidFill>
            </a:rPr>
            <a:t>IRR: 20%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0.82301</cdr:x>
      <cdr:y>0.37888</cdr:y>
    </cdr:from>
    <cdr:to>
      <cdr:x>0.88496</cdr:x>
      <cdr:y>0.58695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6200000" flipV="1">
          <a:off x="4751915" y="1460486"/>
          <a:ext cx="709068" cy="37043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0.69026</cdr:x>
      <cdr:y>0.54968</cdr:y>
    </cdr:from>
    <cdr:to>
      <cdr:x>0.90442</cdr:x>
      <cdr:y>0.68944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27496" y="1873233"/>
          <a:ext cx="1280588" cy="476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00B050"/>
              </a:solidFill>
            </a:rPr>
            <a:t>Break Even Point @ Month 11</a:t>
          </a:r>
        </a:p>
      </cdr:txBody>
    </cdr:sp>
  </cdr:relSizeAnchor>
  <cdr:relSizeAnchor xmlns:cdr="http://schemas.openxmlformats.org/drawingml/2006/chartDrawing">
    <cdr:from>
      <cdr:x>0.1469</cdr:x>
      <cdr:y>0.69876</cdr:y>
    </cdr:from>
    <cdr:to>
      <cdr:x>0.32389</cdr:x>
      <cdr:y>0.8882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78401" y="2381246"/>
          <a:ext cx="1058326" cy="645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Capital Requirement:</a:t>
          </a:r>
        </a:p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$380K</a:t>
          </a:r>
        </a:p>
      </cdr:txBody>
    </cdr:sp>
  </cdr:relSizeAnchor>
  <cdr:relSizeAnchor xmlns:cdr="http://schemas.openxmlformats.org/drawingml/2006/chartDrawing">
    <cdr:from>
      <cdr:x>0.30089</cdr:x>
      <cdr:y>0.75156</cdr:y>
    </cdr:from>
    <cdr:to>
      <cdr:x>0.37522</cdr:x>
      <cdr:y>0.79503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V="1">
          <a:off x="1799195" y="2561182"/>
          <a:ext cx="444463" cy="148139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0.41062</cdr:x>
      <cdr:y>0.15838</cdr:y>
    </cdr:from>
    <cdr:to>
      <cdr:x>0.62478</cdr:x>
      <cdr:y>0.28882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455334" y="539749"/>
          <a:ext cx="1280583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accent6">
                  <a:lumMod val="75000"/>
                </a:schemeClr>
              </a:solidFill>
            </a:rPr>
            <a:t>IRR: 16%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13</xdr:col>
      <xdr:colOff>133615</xdr:colOff>
      <xdr:row>61</xdr:row>
      <xdr:rowOff>169333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0.61195</cdr:x>
      <cdr:y>0.67236</cdr:y>
    </cdr:from>
    <cdr:to>
      <cdr:x>0.70088</cdr:x>
      <cdr:y>0.77213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6200000" flipV="1">
          <a:off x="3755099" y="2195380"/>
          <a:ext cx="339996" cy="53180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0.7042</cdr:x>
      <cdr:y>0.72786</cdr:y>
    </cdr:from>
    <cdr:to>
      <cdr:x>0.91836</cdr:x>
      <cdr:y>0.86762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210812" y="2480436"/>
          <a:ext cx="1280587" cy="476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00B050"/>
              </a:solidFill>
            </a:rPr>
            <a:t>Break Even Point @ Month 11</a:t>
          </a:r>
        </a:p>
      </cdr:txBody>
    </cdr:sp>
  </cdr:relSizeAnchor>
  <cdr:relSizeAnchor xmlns:cdr="http://schemas.openxmlformats.org/drawingml/2006/chartDrawing">
    <cdr:from>
      <cdr:x>0.14093</cdr:x>
      <cdr:y>0.74418</cdr:y>
    </cdr:from>
    <cdr:to>
      <cdr:x>0.31792</cdr:x>
      <cdr:y>0.93362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42682" y="2536038"/>
          <a:ext cx="1058326" cy="645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Capital Requirement:</a:t>
          </a:r>
        </a:p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$80K</a:t>
          </a:r>
        </a:p>
      </cdr:txBody>
    </cdr:sp>
  </cdr:relSizeAnchor>
  <cdr:relSizeAnchor xmlns:cdr="http://schemas.openxmlformats.org/drawingml/2006/chartDrawing">
    <cdr:from>
      <cdr:x>0.30089</cdr:x>
      <cdr:y>0.77252</cdr:y>
    </cdr:from>
    <cdr:to>
      <cdr:x>0.37522</cdr:x>
      <cdr:y>0.81599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V="1">
          <a:off x="1799197" y="2632628"/>
          <a:ext cx="444463" cy="148138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0.41261</cdr:x>
      <cdr:y>0.20729</cdr:y>
    </cdr:from>
    <cdr:to>
      <cdr:x>0.62677</cdr:x>
      <cdr:y>0.33773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701959" y="552851"/>
          <a:ext cx="1402413" cy="347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accent6">
                  <a:lumMod val="75000"/>
                </a:schemeClr>
              </a:solidFill>
            </a:rPr>
            <a:t>IRR: 35%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133350</xdr:rowOff>
    </xdr:from>
    <xdr:to>
      <xdr:col>6</xdr:col>
      <xdr:colOff>1323975</xdr:colOff>
      <xdr:row>17</xdr:row>
      <xdr:rowOff>114301</xdr:rowOff>
    </xdr:to>
    <xdr:cxnSp macro="">
      <xdr:nvCxnSpPr>
        <xdr:cNvPr id="2" name="Curved Connector 1"/>
        <xdr:cNvCxnSpPr/>
      </xdr:nvCxnSpPr>
      <xdr:spPr>
        <a:xfrm flipV="1">
          <a:off x="3581400" y="704850"/>
          <a:ext cx="4352925" cy="2647951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opLeftCell="A34" workbookViewId="0">
      <selection activeCell="B56" sqref="B56"/>
    </sheetView>
  </sheetViews>
  <sheetFormatPr defaultRowHeight="15" x14ac:dyDescent="0.25"/>
  <cols>
    <col min="1" max="1" width="40.140625" style="6" customWidth="1"/>
    <col min="2" max="2" width="12.5703125" style="6" bestFit="1" customWidth="1"/>
    <col min="3" max="16384" width="9.140625" style="6"/>
  </cols>
  <sheetData>
    <row r="1" spans="1:37" x14ac:dyDescent="0.25">
      <c r="A1" s="7" t="s">
        <v>74</v>
      </c>
    </row>
    <row r="2" spans="1:37" x14ac:dyDescent="0.25">
      <c r="A2" s="6" t="s">
        <v>1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13">
        <v>21</v>
      </c>
      <c r="W2" s="13">
        <v>22</v>
      </c>
      <c r="X2" s="13">
        <v>23</v>
      </c>
      <c r="Y2" s="13">
        <v>24</v>
      </c>
      <c r="Z2" s="13">
        <v>25</v>
      </c>
      <c r="AA2" s="13">
        <v>26</v>
      </c>
      <c r="AB2" s="13">
        <v>27</v>
      </c>
      <c r="AC2" s="13">
        <v>28</v>
      </c>
      <c r="AD2" s="13">
        <v>29</v>
      </c>
      <c r="AE2" s="13">
        <v>30</v>
      </c>
      <c r="AF2" s="13">
        <v>31</v>
      </c>
      <c r="AG2" s="13">
        <v>32</v>
      </c>
      <c r="AH2" s="13">
        <v>33</v>
      </c>
      <c r="AI2" s="13">
        <v>34</v>
      </c>
      <c r="AJ2" s="13">
        <v>35</v>
      </c>
      <c r="AK2" s="13">
        <v>36</v>
      </c>
    </row>
    <row r="3" spans="1:37" x14ac:dyDescent="0.25">
      <c r="A3" s="6" t="s">
        <v>66</v>
      </c>
      <c r="B3" s="25">
        <v>0</v>
      </c>
      <c r="C3" s="25">
        <v>0</v>
      </c>
      <c r="D3" s="25">
        <v>0</v>
      </c>
      <c r="E3" s="25">
        <v>0</v>
      </c>
      <c r="F3" s="25">
        <v>0.25</v>
      </c>
      <c r="G3" s="25">
        <v>0.4</v>
      </c>
      <c r="H3" s="25">
        <v>0.55000000000000004</v>
      </c>
      <c r="I3" s="25">
        <v>0.7</v>
      </c>
      <c r="J3" s="25">
        <v>0.8</v>
      </c>
      <c r="K3" s="25">
        <v>0.8</v>
      </c>
      <c r="L3" s="25">
        <v>0.8</v>
      </c>
      <c r="M3" s="25">
        <v>0.8</v>
      </c>
      <c r="N3" s="25">
        <v>0.8</v>
      </c>
      <c r="O3" s="25">
        <v>0.8</v>
      </c>
      <c r="P3" s="25">
        <v>0.8</v>
      </c>
      <c r="Q3" s="25">
        <v>0.8</v>
      </c>
      <c r="R3" s="25">
        <v>0.8</v>
      </c>
      <c r="S3" s="25">
        <v>0.8</v>
      </c>
      <c r="T3" s="25">
        <v>0.8</v>
      </c>
      <c r="U3" s="25">
        <v>0.8</v>
      </c>
      <c r="V3" s="25">
        <v>0.8</v>
      </c>
      <c r="W3" s="25">
        <v>0.8</v>
      </c>
      <c r="X3" s="25">
        <v>0.8</v>
      </c>
      <c r="Y3" s="25">
        <v>0.8</v>
      </c>
      <c r="Z3" s="25">
        <v>0.8</v>
      </c>
      <c r="AA3" s="25">
        <v>0.8</v>
      </c>
      <c r="AB3" s="25">
        <v>0.8</v>
      </c>
      <c r="AC3" s="25">
        <v>0.8</v>
      </c>
      <c r="AD3" s="25">
        <v>0.8</v>
      </c>
      <c r="AE3" s="25">
        <v>0.8</v>
      </c>
      <c r="AF3" s="25">
        <v>0.8</v>
      </c>
      <c r="AG3" s="25">
        <v>0.8</v>
      </c>
      <c r="AH3" s="25">
        <v>0.8</v>
      </c>
      <c r="AI3" s="25">
        <v>0.8</v>
      </c>
      <c r="AJ3" s="25">
        <v>0.8</v>
      </c>
      <c r="AK3" s="25">
        <v>0.8</v>
      </c>
    </row>
    <row r="4" spans="1:37" x14ac:dyDescent="0.25">
      <c r="A4" s="6" t="s">
        <v>146</v>
      </c>
      <c r="B4" s="30">
        <f>B3*$B$12*$B$13*$B$16</f>
        <v>0</v>
      </c>
      <c r="C4" s="30">
        <f t="shared" ref="C4:Y4" si="0">C3*$B$12*$B$13*$B$16</f>
        <v>0</v>
      </c>
      <c r="D4" s="30">
        <f t="shared" si="0"/>
        <v>0</v>
      </c>
      <c r="E4" s="30">
        <f t="shared" si="0"/>
        <v>0</v>
      </c>
      <c r="F4" s="30">
        <f t="shared" si="0"/>
        <v>3900</v>
      </c>
      <c r="G4" s="30">
        <f t="shared" si="0"/>
        <v>6240.0000000000009</v>
      </c>
      <c r="H4" s="30">
        <f t="shared" si="0"/>
        <v>8580.0000000000018</v>
      </c>
      <c r="I4" s="30">
        <f t="shared" si="0"/>
        <v>10919.999999999998</v>
      </c>
      <c r="J4" s="30">
        <f t="shared" si="0"/>
        <v>12480.000000000002</v>
      </c>
      <c r="K4" s="30">
        <f t="shared" si="0"/>
        <v>12480.000000000002</v>
      </c>
      <c r="L4" s="30">
        <f t="shared" si="0"/>
        <v>12480.000000000002</v>
      </c>
      <c r="M4" s="30">
        <f t="shared" si="0"/>
        <v>12480.000000000002</v>
      </c>
      <c r="N4" s="30">
        <f t="shared" si="0"/>
        <v>12480.000000000002</v>
      </c>
      <c r="O4" s="30">
        <f t="shared" si="0"/>
        <v>12480.000000000002</v>
      </c>
      <c r="P4" s="30">
        <f t="shared" si="0"/>
        <v>12480.000000000002</v>
      </c>
      <c r="Q4" s="30">
        <f t="shared" si="0"/>
        <v>12480.000000000002</v>
      </c>
      <c r="R4" s="30">
        <f t="shared" si="0"/>
        <v>12480.000000000002</v>
      </c>
      <c r="S4" s="30">
        <f t="shared" si="0"/>
        <v>12480.000000000002</v>
      </c>
      <c r="T4" s="30">
        <f t="shared" si="0"/>
        <v>12480.000000000002</v>
      </c>
      <c r="U4" s="30">
        <f t="shared" si="0"/>
        <v>12480.000000000002</v>
      </c>
      <c r="V4" s="30">
        <f t="shared" si="0"/>
        <v>12480.000000000002</v>
      </c>
      <c r="W4" s="30">
        <f t="shared" si="0"/>
        <v>12480.000000000002</v>
      </c>
      <c r="X4" s="30">
        <f t="shared" si="0"/>
        <v>12480.000000000002</v>
      </c>
      <c r="Y4" s="30">
        <f t="shared" si="0"/>
        <v>12480.000000000002</v>
      </c>
      <c r="Z4" s="30">
        <f t="shared" ref="Z4:AK4" si="1">Z3*$B$12*$B$13*$B$16</f>
        <v>12480.000000000002</v>
      </c>
      <c r="AA4" s="30">
        <f t="shared" si="1"/>
        <v>12480.000000000002</v>
      </c>
      <c r="AB4" s="30">
        <f t="shared" si="1"/>
        <v>12480.000000000002</v>
      </c>
      <c r="AC4" s="30">
        <f t="shared" si="1"/>
        <v>12480.000000000002</v>
      </c>
      <c r="AD4" s="30">
        <f t="shared" si="1"/>
        <v>12480.000000000002</v>
      </c>
      <c r="AE4" s="30">
        <f t="shared" si="1"/>
        <v>12480.000000000002</v>
      </c>
      <c r="AF4" s="30">
        <f t="shared" si="1"/>
        <v>12480.000000000002</v>
      </c>
      <c r="AG4" s="30">
        <f t="shared" si="1"/>
        <v>12480.000000000002</v>
      </c>
      <c r="AH4" s="30">
        <f t="shared" si="1"/>
        <v>12480.000000000002</v>
      </c>
      <c r="AI4" s="30">
        <f t="shared" si="1"/>
        <v>12480.000000000002</v>
      </c>
      <c r="AJ4" s="30">
        <f t="shared" si="1"/>
        <v>12480.000000000002</v>
      </c>
      <c r="AK4" s="30">
        <f t="shared" si="1"/>
        <v>12480.000000000002</v>
      </c>
    </row>
    <row r="5" spans="1:37" x14ac:dyDescent="0.25">
      <c r="A5" s="6" t="s">
        <v>145</v>
      </c>
      <c r="B5" s="30">
        <f t="shared" ref="B5:Y5" si="2">B4/$B$7</f>
        <v>0</v>
      </c>
      <c r="C5" s="30">
        <f t="shared" si="2"/>
        <v>0</v>
      </c>
      <c r="D5" s="30">
        <f t="shared" si="2"/>
        <v>0</v>
      </c>
      <c r="E5" s="30">
        <f t="shared" si="2"/>
        <v>0</v>
      </c>
      <c r="F5" s="30">
        <f>F4/$B$7</f>
        <v>54.166666666666664</v>
      </c>
      <c r="G5" s="30">
        <f t="shared" si="2"/>
        <v>86.666666666666686</v>
      </c>
      <c r="H5" s="30">
        <f t="shared" si="2"/>
        <v>119.16666666666669</v>
      </c>
      <c r="I5" s="30">
        <f t="shared" si="2"/>
        <v>151.66666666666663</v>
      </c>
      <c r="J5" s="30">
        <f t="shared" si="2"/>
        <v>173.33333333333337</v>
      </c>
      <c r="K5" s="30">
        <f t="shared" si="2"/>
        <v>173.33333333333337</v>
      </c>
      <c r="L5" s="30">
        <f t="shared" si="2"/>
        <v>173.33333333333337</v>
      </c>
      <c r="M5" s="30">
        <f t="shared" si="2"/>
        <v>173.33333333333337</v>
      </c>
      <c r="N5" s="30">
        <f t="shared" si="2"/>
        <v>173.33333333333337</v>
      </c>
      <c r="O5" s="30">
        <f t="shared" si="2"/>
        <v>173.33333333333337</v>
      </c>
      <c r="P5" s="30">
        <f t="shared" si="2"/>
        <v>173.33333333333337</v>
      </c>
      <c r="Q5" s="30">
        <f t="shared" si="2"/>
        <v>173.33333333333337</v>
      </c>
      <c r="R5" s="30">
        <f t="shared" si="2"/>
        <v>173.33333333333337</v>
      </c>
      <c r="S5" s="30">
        <f t="shared" si="2"/>
        <v>173.33333333333337</v>
      </c>
      <c r="T5" s="30">
        <f t="shared" si="2"/>
        <v>173.33333333333337</v>
      </c>
      <c r="U5" s="30">
        <f t="shared" si="2"/>
        <v>173.33333333333337</v>
      </c>
      <c r="V5" s="30">
        <f t="shared" si="2"/>
        <v>173.33333333333337</v>
      </c>
      <c r="W5" s="30">
        <f t="shared" si="2"/>
        <v>173.33333333333337</v>
      </c>
      <c r="X5" s="30">
        <f t="shared" si="2"/>
        <v>173.33333333333337</v>
      </c>
      <c r="Y5" s="30">
        <f t="shared" si="2"/>
        <v>173.33333333333337</v>
      </c>
      <c r="Z5" s="30">
        <f t="shared" ref="Z5:AK5" si="3">Z4/$B$7</f>
        <v>173.33333333333337</v>
      </c>
      <c r="AA5" s="30">
        <f t="shared" si="3"/>
        <v>173.33333333333337</v>
      </c>
      <c r="AB5" s="30">
        <f t="shared" si="3"/>
        <v>173.33333333333337</v>
      </c>
      <c r="AC5" s="30">
        <f t="shared" si="3"/>
        <v>173.33333333333337</v>
      </c>
      <c r="AD5" s="30">
        <f t="shared" si="3"/>
        <v>173.33333333333337</v>
      </c>
      <c r="AE5" s="30">
        <f t="shared" si="3"/>
        <v>173.33333333333337</v>
      </c>
      <c r="AF5" s="30">
        <f t="shared" si="3"/>
        <v>173.33333333333337</v>
      </c>
      <c r="AG5" s="30">
        <f t="shared" si="3"/>
        <v>173.33333333333337</v>
      </c>
      <c r="AH5" s="30">
        <f t="shared" si="3"/>
        <v>173.33333333333337</v>
      </c>
      <c r="AI5" s="30">
        <f t="shared" si="3"/>
        <v>173.33333333333337</v>
      </c>
      <c r="AJ5" s="30">
        <f t="shared" si="3"/>
        <v>173.33333333333337</v>
      </c>
      <c r="AK5" s="30">
        <f t="shared" si="3"/>
        <v>173.33333333333337</v>
      </c>
    </row>
    <row r="6" spans="1:37" x14ac:dyDescent="0.25">
      <c r="A6" s="6" t="s">
        <v>149</v>
      </c>
      <c r="B6" s="31">
        <f>B5/$B$8</f>
        <v>0</v>
      </c>
      <c r="C6" s="31">
        <f t="shared" ref="C6:Y6" si="4">C5/$B$8</f>
        <v>0</v>
      </c>
      <c r="D6" s="31">
        <f t="shared" si="4"/>
        <v>0</v>
      </c>
      <c r="E6" s="31">
        <f t="shared" si="4"/>
        <v>0</v>
      </c>
      <c r="F6" s="31">
        <f t="shared" si="4"/>
        <v>4.710144927536232E-2</v>
      </c>
      <c r="G6" s="31">
        <f t="shared" si="4"/>
        <v>7.5362318840579728E-2</v>
      </c>
      <c r="H6" s="31">
        <f t="shared" si="4"/>
        <v>0.10362318840579712</v>
      </c>
      <c r="I6" s="31">
        <f t="shared" si="4"/>
        <v>0.13188405797101446</v>
      </c>
      <c r="J6" s="31">
        <f t="shared" si="4"/>
        <v>0.15072463768115946</v>
      </c>
      <c r="K6" s="31">
        <f t="shared" si="4"/>
        <v>0.15072463768115946</v>
      </c>
      <c r="L6" s="31">
        <f t="shared" si="4"/>
        <v>0.15072463768115946</v>
      </c>
      <c r="M6" s="31">
        <f t="shared" si="4"/>
        <v>0.15072463768115946</v>
      </c>
      <c r="N6" s="31">
        <f t="shared" si="4"/>
        <v>0.15072463768115946</v>
      </c>
      <c r="O6" s="31">
        <f t="shared" si="4"/>
        <v>0.15072463768115946</v>
      </c>
      <c r="P6" s="31">
        <f t="shared" si="4"/>
        <v>0.15072463768115946</v>
      </c>
      <c r="Q6" s="31">
        <f t="shared" si="4"/>
        <v>0.15072463768115946</v>
      </c>
      <c r="R6" s="31">
        <f t="shared" si="4"/>
        <v>0.15072463768115946</v>
      </c>
      <c r="S6" s="31">
        <f t="shared" si="4"/>
        <v>0.15072463768115946</v>
      </c>
      <c r="T6" s="31">
        <f t="shared" si="4"/>
        <v>0.15072463768115946</v>
      </c>
      <c r="U6" s="31">
        <f t="shared" si="4"/>
        <v>0.15072463768115946</v>
      </c>
      <c r="V6" s="31">
        <f t="shared" si="4"/>
        <v>0.15072463768115946</v>
      </c>
      <c r="W6" s="31">
        <f t="shared" si="4"/>
        <v>0.15072463768115946</v>
      </c>
      <c r="X6" s="31">
        <f t="shared" si="4"/>
        <v>0.15072463768115946</v>
      </c>
      <c r="Y6" s="31">
        <f t="shared" si="4"/>
        <v>0.15072463768115946</v>
      </c>
      <c r="Z6" s="31">
        <f t="shared" ref="Z6:AK6" si="5">Z5/$B$8</f>
        <v>0.15072463768115946</v>
      </c>
      <c r="AA6" s="31">
        <f t="shared" si="5"/>
        <v>0.15072463768115946</v>
      </c>
      <c r="AB6" s="31">
        <f t="shared" si="5"/>
        <v>0.15072463768115946</v>
      </c>
      <c r="AC6" s="31">
        <f t="shared" si="5"/>
        <v>0.15072463768115946</v>
      </c>
      <c r="AD6" s="31">
        <f t="shared" si="5"/>
        <v>0.15072463768115946</v>
      </c>
      <c r="AE6" s="31">
        <f t="shared" si="5"/>
        <v>0.15072463768115946</v>
      </c>
      <c r="AF6" s="31">
        <f t="shared" si="5"/>
        <v>0.15072463768115946</v>
      </c>
      <c r="AG6" s="31">
        <f t="shared" si="5"/>
        <v>0.15072463768115946</v>
      </c>
      <c r="AH6" s="31">
        <f t="shared" si="5"/>
        <v>0.15072463768115946</v>
      </c>
      <c r="AI6" s="31">
        <f t="shared" si="5"/>
        <v>0.15072463768115946</v>
      </c>
      <c r="AJ6" s="31">
        <f t="shared" si="5"/>
        <v>0.15072463768115946</v>
      </c>
      <c r="AK6" s="31">
        <f t="shared" si="5"/>
        <v>0.15072463768115946</v>
      </c>
    </row>
    <row r="7" spans="1:37" x14ac:dyDescent="0.25">
      <c r="A7" s="6" t="s">
        <v>147</v>
      </c>
      <c r="B7" s="15">
        <f>12*6</f>
        <v>72</v>
      </c>
      <c r="C7" s="30" t="s">
        <v>148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x14ac:dyDescent="0.25">
      <c r="A8" s="6" t="s">
        <v>150</v>
      </c>
      <c r="B8" s="15">
        <v>1150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x14ac:dyDescent="0.25">
      <c r="A9" s="6" t="s">
        <v>50</v>
      </c>
      <c r="B9" s="4">
        <f>($B$16/'BlankSpaces Info'!$B$3)*'BlankSpaces Info'!$G$11</f>
        <v>470</v>
      </c>
    </row>
    <row r="10" spans="1:37" x14ac:dyDescent="0.25">
      <c r="A10" s="6" t="s">
        <v>51</v>
      </c>
      <c r="B10" s="4">
        <f>B9*B13</f>
        <v>5640</v>
      </c>
      <c r="C10" s="4"/>
    </row>
    <row r="11" spans="1:37" x14ac:dyDescent="0.25">
      <c r="A11" s="6" t="s">
        <v>52</v>
      </c>
      <c r="B11" s="4">
        <f>B10*B12</f>
        <v>146640</v>
      </c>
      <c r="C11" s="4"/>
    </row>
    <row r="12" spans="1:37" x14ac:dyDescent="0.25">
      <c r="A12" s="6" t="s">
        <v>81</v>
      </c>
      <c r="B12" s="15">
        <v>26</v>
      </c>
      <c r="C12" s="4"/>
    </row>
    <row r="13" spans="1:37" x14ac:dyDescent="0.25">
      <c r="A13" s="6" t="s">
        <v>21</v>
      </c>
      <c r="B13" s="13">
        <v>12</v>
      </c>
    </row>
    <row r="14" spans="1:37" x14ac:dyDescent="0.25">
      <c r="A14" s="6" t="s">
        <v>31</v>
      </c>
      <c r="B14" s="11">
        <v>16</v>
      </c>
      <c r="C14" s="8" t="s">
        <v>20</v>
      </c>
      <c r="E14" s="9">
        <f>B14*(1+$B$55)</f>
        <v>19.2</v>
      </c>
      <c r="F14" s="6" t="s">
        <v>155</v>
      </c>
    </row>
    <row r="15" spans="1:37" x14ac:dyDescent="0.25">
      <c r="A15" s="6" t="s">
        <v>56</v>
      </c>
      <c r="B15" s="17">
        <v>1500</v>
      </c>
    </row>
    <row r="16" spans="1:37" x14ac:dyDescent="0.25">
      <c r="A16" s="6" t="s">
        <v>57</v>
      </c>
      <c r="B16" s="6">
        <f>(B42-B44)/B48</f>
        <v>50</v>
      </c>
    </row>
    <row r="17" spans="1:37" x14ac:dyDescent="0.25">
      <c r="A17" s="6" t="s">
        <v>135</v>
      </c>
      <c r="B17" s="17">
        <v>5000</v>
      </c>
    </row>
    <row r="18" spans="1:37" x14ac:dyDescent="0.25">
      <c r="A18" s="6" t="s">
        <v>23</v>
      </c>
      <c r="B18" s="17">
        <v>10000</v>
      </c>
    </row>
    <row r="19" spans="1:37" x14ac:dyDescent="0.25">
      <c r="A19" s="6" t="s">
        <v>138</v>
      </c>
      <c r="B19" s="17">
        <v>500</v>
      </c>
    </row>
    <row r="20" spans="1:37" x14ac:dyDescent="0.25">
      <c r="A20" s="6" t="s">
        <v>139</v>
      </c>
      <c r="B20" s="17">
        <v>1000</v>
      </c>
    </row>
    <row r="21" spans="1:37" x14ac:dyDescent="0.25">
      <c r="A21" s="6" t="s">
        <v>134</v>
      </c>
      <c r="B21" s="17">
        <v>500</v>
      </c>
    </row>
    <row r="23" spans="1:37" x14ac:dyDescent="0.25">
      <c r="A23" s="7" t="s">
        <v>73</v>
      </c>
    </row>
    <row r="24" spans="1:37" x14ac:dyDescent="0.25">
      <c r="A24" s="6" t="s">
        <v>1</v>
      </c>
      <c r="B24" s="13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  <c r="I24" s="13">
        <v>8</v>
      </c>
      <c r="J24" s="13">
        <v>9</v>
      </c>
      <c r="K24" s="13">
        <v>10</v>
      </c>
      <c r="L24" s="13">
        <v>11</v>
      </c>
      <c r="M24" s="13">
        <v>12</v>
      </c>
      <c r="N24" s="13">
        <v>13</v>
      </c>
      <c r="O24" s="13">
        <v>14</v>
      </c>
      <c r="P24" s="13">
        <v>15</v>
      </c>
      <c r="Q24" s="13">
        <v>16</v>
      </c>
      <c r="R24" s="13">
        <v>17</v>
      </c>
      <c r="S24" s="13">
        <v>18</v>
      </c>
      <c r="T24" s="13">
        <v>19</v>
      </c>
      <c r="U24" s="13">
        <v>20</v>
      </c>
      <c r="V24" s="13">
        <v>21</v>
      </c>
      <c r="W24" s="13">
        <v>22</v>
      </c>
      <c r="X24" s="13">
        <v>23</v>
      </c>
      <c r="Y24" s="13">
        <v>24</v>
      </c>
      <c r="Z24" s="13">
        <v>25</v>
      </c>
      <c r="AA24" s="13">
        <v>26</v>
      </c>
      <c r="AB24" s="13">
        <v>27</v>
      </c>
      <c r="AC24" s="13">
        <v>28</v>
      </c>
      <c r="AD24" s="13">
        <v>29</v>
      </c>
      <c r="AE24" s="13">
        <v>30</v>
      </c>
      <c r="AF24" s="13">
        <v>31</v>
      </c>
      <c r="AG24" s="13">
        <v>32</v>
      </c>
      <c r="AH24" s="13">
        <v>33</v>
      </c>
      <c r="AI24" s="13">
        <v>34</v>
      </c>
      <c r="AJ24" s="13">
        <v>35</v>
      </c>
      <c r="AK24" s="13">
        <v>36</v>
      </c>
    </row>
    <row r="25" spans="1:37" x14ac:dyDescent="0.25">
      <c r="A25" s="6" t="s">
        <v>67</v>
      </c>
      <c r="B25" s="25">
        <v>0</v>
      </c>
      <c r="C25" s="25">
        <v>0</v>
      </c>
      <c r="D25" s="25">
        <v>0</v>
      </c>
      <c r="E25" s="25">
        <v>0</v>
      </c>
      <c r="F25" s="25">
        <v>0.15</v>
      </c>
      <c r="G25" s="25">
        <v>0.3</v>
      </c>
      <c r="H25" s="25">
        <v>0.45</v>
      </c>
      <c r="I25" s="25">
        <v>0.6</v>
      </c>
      <c r="J25" s="25">
        <v>0.6</v>
      </c>
      <c r="K25" s="25">
        <v>0.6</v>
      </c>
      <c r="L25" s="25">
        <v>0.6</v>
      </c>
      <c r="M25" s="25">
        <v>0.6</v>
      </c>
      <c r="N25" s="25">
        <v>0.6</v>
      </c>
      <c r="O25" s="25">
        <v>0.6</v>
      </c>
      <c r="P25" s="25">
        <v>0.6</v>
      </c>
      <c r="Q25" s="25">
        <v>0.6</v>
      </c>
      <c r="R25" s="25">
        <v>0.6</v>
      </c>
      <c r="S25" s="25">
        <v>0.6</v>
      </c>
      <c r="T25" s="25">
        <v>0.6</v>
      </c>
      <c r="U25" s="25">
        <v>0.6</v>
      </c>
      <c r="V25" s="25">
        <v>0.6</v>
      </c>
      <c r="W25" s="25">
        <v>0.6</v>
      </c>
      <c r="X25" s="25">
        <v>0.6</v>
      </c>
      <c r="Y25" s="25">
        <v>0.6</v>
      </c>
      <c r="Z25" s="25">
        <v>0.6</v>
      </c>
      <c r="AA25" s="25">
        <v>0.6</v>
      </c>
      <c r="AB25" s="25">
        <v>0.6</v>
      </c>
      <c r="AC25" s="25">
        <v>0.6</v>
      </c>
      <c r="AD25" s="25">
        <v>0.6</v>
      </c>
      <c r="AE25" s="25">
        <v>0.6</v>
      </c>
      <c r="AF25" s="25">
        <v>0.6</v>
      </c>
      <c r="AG25" s="25">
        <v>0.6</v>
      </c>
      <c r="AH25" s="25">
        <v>0.6</v>
      </c>
      <c r="AI25" s="25">
        <v>0.6</v>
      </c>
      <c r="AJ25" s="25">
        <v>0.6</v>
      </c>
      <c r="AK25" s="25">
        <v>0.6</v>
      </c>
    </row>
    <row r="26" spans="1:37" x14ac:dyDescent="0.25">
      <c r="A26" s="6" t="s">
        <v>151</v>
      </c>
      <c r="B26" s="30">
        <f>B25*$B$12*$B$13*$B$30</f>
        <v>0</v>
      </c>
      <c r="C26" s="30">
        <f t="shared" ref="C26:Y26" si="6">C25*$B$12*$B$13*$B$30</f>
        <v>0</v>
      </c>
      <c r="D26" s="30">
        <f t="shared" si="6"/>
        <v>0</v>
      </c>
      <c r="E26" s="30">
        <f t="shared" si="6"/>
        <v>0</v>
      </c>
      <c r="F26" s="30">
        <f>F25*$B$12*$B$13*$B$30</f>
        <v>1170</v>
      </c>
      <c r="G26" s="30">
        <f t="shared" si="6"/>
        <v>2340</v>
      </c>
      <c r="H26" s="30">
        <f t="shared" si="6"/>
        <v>3510</v>
      </c>
      <c r="I26" s="30">
        <f t="shared" si="6"/>
        <v>4680</v>
      </c>
      <c r="J26" s="30">
        <f t="shared" si="6"/>
        <v>4680</v>
      </c>
      <c r="K26" s="30">
        <f t="shared" si="6"/>
        <v>4680</v>
      </c>
      <c r="L26" s="30">
        <f t="shared" si="6"/>
        <v>4680</v>
      </c>
      <c r="M26" s="30">
        <f t="shared" si="6"/>
        <v>4680</v>
      </c>
      <c r="N26" s="30">
        <f t="shared" si="6"/>
        <v>4680</v>
      </c>
      <c r="O26" s="30">
        <f t="shared" si="6"/>
        <v>4680</v>
      </c>
      <c r="P26" s="30">
        <f t="shared" si="6"/>
        <v>4680</v>
      </c>
      <c r="Q26" s="30">
        <f t="shared" si="6"/>
        <v>4680</v>
      </c>
      <c r="R26" s="30">
        <f t="shared" si="6"/>
        <v>4680</v>
      </c>
      <c r="S26" s="30">
        <f t="shared" si="6"/>
        <v>4680</v>
      </c>
      <c r="T26" s="30">
        <f t="shared" si="6"/>
        <v>4680</v>
      </c>
      <c r="U26" s="30">
        <f t="shared" si="6"/>
        <v>4680</v>
      </c>
      <c r="V26" s="30">
        <f t="shared" si="6"/>
        <v>4680</v>
      </c>
      <c r="W26" s="30">
        <f t="shared" si="6"/>
        <v>4680</v>
      </c>
      <c r="X26" s="30">
        <f t="shared" si="6"/>
        <v>4680</v>
      </c>
      <c r="Y26" s="30">
        <f t="shared" si="6"/>
        <v>4680</v>
      </c>
      <c r="Z26" s="30">
        <f t="shared" ref="Z26:AK26" si="7">Z25*$B$12*$B$13*$B$30</f>
        <v>4680</v>
      </c>
      <c r="AA26" s="30">
        <f t="shared" si="7"/>
        <v>4680</v>
      </c>
      <c r="AB26" s="30">
        <f t="shared" si="7"/>
        <v>4680</v>
      </c>
      <c r="AC26" s="30">
        <f t="shared" si="7"/>
        <v>4680</v>
      </c>
      <c r="AD26" s="30">
        <f t="shared" si="7"/>
        <v>4680</v>
      </c>
      <c r="AE26" s="30">
        <f t="shared" si="7"/>
        <v>4680</v>
      </c>
      <c r="AF26" s="30">
        <f t="shared" si="7"/>
        <v>4680</v>
      </c>
      <c r="AG26" s="30">
        <f t="shared" si="7"/>
        <v>4680</v>
      </c>
      <c r="AH26" s="30">
        <f t="shared" si="7"/>
        <v>4680</v>
      </c>
      <c r="AI26" s="30">
        <f t="shared" si="7"/>
        <v>4680</v>
      </c>
      <c r="AJ26" s="30">
        <f t="shared" si="7"/>
        <v>4680</v>
      </c>
      <c r="AK26" s="30">
        <f t="shared" si="7"/>
        <v>4680</v>
      </c>
    </row>
    <row r="27" spans="1:37" x14ac:dyDescent="0.25">
      <c r="A27" s="6" t="s">
        <v>153</v>
      </c>
      <c r="B27" s="30">
        <f>B26/$B$28</f>
        <v>0</v>
      </c>
      <c r="C27" s="30">
        <f t="shared" ref="C27:Y27" si="8">C26/$B$28</f>
        <v>0</v>
      </c>
      <c r="D27" s="30">
        <f t="shared" si="8"/>
        <v>0</v>
      </c>
      <c r="E27" s="30">
        <f t="shared" si="8"/>
        <v>0</v>
      </c>
      <c r="F27" s="30">
        <f t="shared" si="8"/>
        <v>16.25</v>
      </c>
      <c r="G27" s="30">
        <f t="shared" si="8"/>
        <v>32.5</v>
      </c>
      <c r="H27" s="30">
        <f t="shared" si="8"/>
        <v>48.75</v>
      </c>
      <c r="I27" s="30">
        <f t="shared" si="8"/>
        <v>65</v>
      </c>
      <c r="J27" s="30">
        <f t="shared" si="8"/>
        <v>65</v>
      </c>
      <c r="K27" s="30">
        <f t="shared" si="8"/>
        <v>65</v>
      </c>
      <c r="L27" s="30">
        <f t="shared" si="8"/>
        <v>65</v>
      </c>
      <c r="M27" s="30">
        <f t="shared" si="8"/>
        <v>65</v>
      </c>
      <c r="N27" s="30">
        <f t="shared" si="8"/>
        <v>65</v>
      </c>
      <c r="O27" s="30">
        <f t="shared" si="8"/>
        <v>65</v>
      </c>
      <c r="P27" s="30">
        <f t="shared" si="8"/>
        <v>65</v>
      </c>
      <c r="Q27" s="30">
        <f t="shared" si="8"/>
        <v>65</v>
      </c>
      <c r="R27" s="30">
        <f t="shared" si="8"/>
        <v>65</v>
      </c>
      <c r="S27" s="30">
        <f t="shared" si="8"/>
        <v>65</v>
      </c>
      <c r="T27" s="30">
        <f t="shared" si="8"/>
        <v>65</v>
      </c>
      <c r="U27" s="30">
        <f t="shared" si="8"/>
        <v>65</v>
      </c>
      <c r="V27" s="30">
        <f t="shared" si="8"/>
        <v>65</v>
      </c>
      <c r="W27" s="30">
        <f t="shared" si="8"/>
        <v>65</v>
      </c>
      <c r="X27" s="30">
        <f t="shared" si="8"/>
        <v>65</v>
      </c>
      <c r="Y27" s="30">
        <f t="shared" si="8"/>
        <v>65</v>
      </c>
      <c r="Z27" s="30">
        <f t="shared" ref="Z27:AK27" si="9">Z26/$B$28</f>
        <v>65</v>
      </c>
      <c r="AA27" s="30">
        <f t="shared" si="9"/>
        <v>65</v>
      </c>
      <c r="AB27" s="30">
        <f t="shared" si="9"/>
        <v>65</v>
      </c>
      <c r="AC27" s="30">
        <f t="shared" si="9"/>
        <v>65</v>
      </c>
      <c r="AD27" s="30">
        <f t="shared" si="9"/>
        <v>65</v>
      </c>
      <c r="AE27" s="30">
        <f t="shared" si="9"/>
        <v>65</v>
      </c>
      <c r="AF27" s="30">
        <f t="shared" si="9"/>
        <v>65</v>
      </c>
      <c r="AG27" s="30">
        <f t="shared" si="9"/>
        <v>65</v>
      </c>
      <c r="AH27" s="30">
        <f t="shared" si="9"/>
        <v>65</v>
      </c>
      <c r="AI27" s="30">
        <f t="shared" si="9"/>
        <v>65</v>
      </c>
      <c r="AJ27" s="30">
        <f t="shared" si="9"/>
        <v>65</v>
      </c>
      <c r="AK27" s="30">
        <f t="shared" si="9"/>
        <v>65</v>
      </c>
    </row>
    <row r="28" spans="1:37" x14ac:dyDescent="0.25">
      <c r="A28" s="6" t="s">
        <v>152</v>
      </c>
      <c r="B28" s="30">
        <f>B7</f>
        <v>72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37" x14ac:dyDescent="0.25">
      <c r="A29" s="6" t="s">
        <v>68</v>
      </c>
      <c r="B29" s="9">
        <v>20</v>
      </c>
    </row>
    <row r="30" spans="1:37" x14ac:dyDescent="0.25">
      <c r="A30" s="6" t="s">
        <v>69</v>
      </c>
      <c r="B30" s="13">
        <v>25</v>
      </c>
    </row>
    <row r="31" spans="1:37" x14ac:dyDescent="0.25">
      <c r="A31" s="6" t="s">
        <v>21</v>
      </c>
      <c r="B31" s="13">
        <v>12</v>
      </c>
    </row>
    <row r="32" spans="1:37" x14ac:dyDescent="0.25">
      <c r="A32" s="6" t="s">
        <v>70</v>
      </c>
      <c r="B32" s="9">
        <f>B29*B30*B31</f>
        <v>6000</v>
      </c>
    </row>
    <row r="33" spans="1:6" x14ac:dyDescent="0.25">
      <c r="A33" s="6" t="s">
        <v>71</v>
      </c>
      <c r="B33" s="9">
        <f>B32*B12</f>
        <v>156000</v>
      </c>
    </row>
    <row r="34" spans="1:6" x14ac:dyDescent="0.25">
      <c r="A34" s="6" t="s">
        <v>4</v>
      </c>
      <c r="B34" s="17">
        <v>5000</v>
      </c>
    </row>
    <row r="35" spans="1:6" x14ac:dyDescent="0.25">
      <c r="A35" s="6" t="s">
        <v>131</v>
      </c>
      <c r="B35" s="17">
        <v>1000</v>
      </c>
    </row>
    <row r="36" spans="1:6" x14ac:dyDescent="0.25">
      <c r="A36" s="6" t="s">
        <v>19</v>
      </c>
      <c r="B36" s="24">
        <f>Salaries!B3</f>
        <v>12</v>
      </c>
      <c r="C36" s="8" t="s">
        <v>20</v>
      </c>
      <c r="E36" s="9">
        <f>B36*(1+$B$55)</f>
        <v>14.399999999999999</v>
      </c>
      <c r="F36" s="6" t="s">
        <v>155</v>
      </c>
    </row>
    <row r="37" spans="1:6" x14ac:dyDescent="0.25">
      <c r="A37" s="6" t="s">
        <v>27</v>
      </c>
      <c r="B37" s="24">
        <f>Salaries!B2</f>
        <v>16</v>
      </c>
      <c r="C37" s="8" t="s">
        <v>20</v>
      </c>
      <c r="E37" s="9">
        <f>B37*(1+$B$55)</f>
        <v>19.2</v>
      </c>
      <c r="F37" s="6" t="s">
        <v>155</v>
      </c>
    </row>
    <row r="38" spans="1:6" x14ac:dyDescent="0.25">
      <c r="A38" s="6" t="s">
        <v>24</v>
      </c>
      <c r="B38" s="6">
        <f>ROUNDDOWN(B30/'Required Daycare Ratio'!C3,0)-1</f>
        <v>3</v>
      </c>
    </row>
    <row r="39" spans="1:6" x14ac:dyDescent="0.25">
      <c r="A39" s="6" t="s">
        <v>134</v>
      </c>
      <c r="B39" s="17">
        <v>500</v>
      </c>
    </row>
    <row r="41" spans="1:6" x14ac:dyDescent="0.25">
      <c r="A41" s="7" t="s">
        <v>75</v>
      </c>
    </row>
    <row r="42" spans="1:6" x14ac:dyDescent="0.25">
      <c r="A42" s="6" t="s">
        <v>58</v>
      </c>
      <c r="B42" s="13">
        <v>5000</v>
      </c>
    </row>
    <row r="43" spans="1:6" x14ac:dyDescent="0.25">
      <c r="A43" s="6" t="s">
        <v>65</v>
      </c>
      <c r="B43" s="14">
        <f>B42-B44</f>
        <v>4000</v>
      </c>
    </row>
    <row r="44" spans="1:6" x14ac:dyDescent="0.25">
      <c r="A44" s="6" t="s">
        <v>59</v>
      </c>
      <c r="B44" s="13">
        <v>1000</v>
      </c>
    </row>
    <row r="45" spans="1:6" x14ac:dyDescent="0.25">
      <c r="A45" s="6" t="s">
        <v>37</v>
      </c>
      <c r="B45" s="11">
        <v>3</v>
      </c>
    </row>
    <row r="46" spans="1:6" x14ac:dyDescent="0.25">
      <c r="A46" s="6" t="s">
        <v>35</v>
      </c>
      <c r="B46" s="12">
        <f>2.21/12</f>
        <v>0.18416666666666667</v>
      </c>
    </row>
    <row r="47" spans="1:6" x14ac:dyDescent="0.25">
      <c r="A47" s="6" t="s">
        <v>38</v>
      </c>
      <c r="B47" s="16">
        <f>2*4*B16*B12*0.039</f>
        <v>405.6</v>
      </c>
      <c r="C47" s="8" t="s">
        <v>82</v>
      </c>
    </row>
    <row r="48" spans="1:6" x14ac:dyDescent="0.25">
      <c r="A48" s="6" t="s">
        <v>80</v>
      </c>
      <c r="B48" s="13">
        <v>80</v>
      </c>
    </row>
    <row r="49" spans="1:2" x14ac:dyDescent="0.25">
      <c r="A49" s="6" t="s">
        <v>55</v>
      </c>
      <c r="B49" s="17">
        <v>50</v>
      </c>
    </row>
    <row r="50" spans="1:2" x14ac:dyDescent="0.25">
      <c r="A50" s="6" t="s">
        <v>129</v>
      </c>
      <c r="B50" s="17">
        <v>1</v>
      </c>
    </row>
    <row r="51" spans="1:2" x14ac:dyDescent="0.25">
      <c r="A51" s="6" t="s">
        <v>130</v>
      </c>
      <c r="B51" s="17">
        <v>4</v>
      </c>
    </row>
    <row r="52" spans="1:2" x14ac:dyDescent="0.25">
      <c r="A52" s="6" t="s">
        <v>132</v>
      </c>
      <c r="B52" s="28">
        <v>0.1</v>
      </c>
    </row>
    <row r="53" spans="1:2" x14ac:dyDescent="0.25">
      <c r="A53" s="6" t="s">
        <v>133</v>
      </c>
      <c r="B53" s="28">
        <v>0.3</v>
      </c>
    </row>
    <row r="54" spans="1:2" x14ac:dyDescent="0.25">
      <c r="A54" s="6" t="s">
        <v>137</v>
      </c>
      <c r="B54" s="17">
        <v>60000</v>
      </c>
    </row>
    <row r="55" spans="1:2" x14ac:dyDescent="0.25">
      <c r="A55" s="6" t="s">
        <v>154</v>
      </c>
      <c r="B55" s="25">
        <v>0.2</v>
      </c>
    </row>
    <row r="56" spans="1:2" x14ac:dyDescent="0.25">
      <c r="A56" s="6" t="s">
        <v>167</v>
      </c>
      <c r="B56" s="13">
        <v>0.33</v>
      </c>
    </row>
    <row r="57" spans="1:2" x14ac:dyDescent="0.25">
      <c r="A57" s="6" t="s">
        <v>186</v>
      </c>
      <c r="B57" s="37">
        <v>0.05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12" sqref="F12"/>
    </sheetView>
  </sheetViews>
  <sheetFormatPr defaultRowHeight="15" x14ac:dyDescent="0.25"/>
  <cols>
    <col min="1" max="1" width="23.140625" bestFit="1" customWidth="1"/>
    <col min="2" max="2" width="10.5703125" bestFit="1" customWidth="1"/>
    <col min="3" max="3" width="9.7109375" bestFit="1" customWidth="1"/>
    <col min="4" max="5" width="10.7109375" bestFit="1" customWidth="1"/>
    <col min="6" max="8" width="9.7109375" bestFit="1" customWidth="1"/>
    <col min="9" max="10" width="10" bestFit="1" customWidth="1"/>
  </cols>
  <sheetData>
    <row r="1" spans="1:10" x14ac:dyDescent="0.25">
      <c r="B1" s="38" t="s">
        <v>179</v>
      </c>
      <c r="C1" s="38"/>
      <c r="D1" s="38"/>
      <c r="E1" s="38"/>
      <c r="F1" s="38"/>
      <c r="G1" s="38"/>
      <c r="H1" s="38"/>
      <c r="I1" s="38"/>
      <c r="J1" s="38"/>
    </row>
    <row r="2" spans="1:10" ht="17.25" x14ac:dyDescent="0.3">
      <c r="A2" s="40" t="s">
        <v>193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 t="s">
        <v>192</v>
      </c>
    </row>
    <row r="3" spans="1:10" x14ac:dyDescent="0.25">
      <c r="A3" s="1" t="s">
        <v>0</v>
      </c>
      <c r="B3" s="5">
        <f>'Office P&amp;L'!B6</f>
        <v>0</v>
      </c>
      <c r="C3" s="5">
        <f>'Office P&amp;L'!C6</f>
        <v>0</v>
      </c>
      <c r="D3" s="5">
        <f>'Office P&amp;L'!D6</f>
        <v>0</v>
      </c>
      <c r="E3" s="5">
        <f>'Office P&amp;L'!E6</f>
        <v>0</v>
      </c>
      <c r="F3" s="5">
        <f>'Office P&amp;L'!F6</f>
        <v>36660</v>
      </c>
      <c r="G3" s="5">
        <f>'Office P&amp;L'!G6</f>
        <v>58656</v>
      </c>
      <c r="H3" s="5">
        <f>'Office P&amp;L'!H6</f>
        <v>80652</v>
      </c>
      <c r="I3" s="5">
        <f>'Office P&amp;L'!I6</f>
        <v>102648</v>
      </c>
      <c r="J3" s="5">
        <f>'Office P&amp;L'!J6</f>
        <v>117312</v>
      </c>
    </row>
    <row r="4" spans="1:10" x14ac:dyDescent="0.25">
      <c r="A4" s="1" t="s">
        <v>189</v>
      </c>
      <c r="B4" s="5">
        <f>SUM('Office P&amp;L'!B20:'Office P&amp;L'!B31)</f>
        <v>16939.466666666667</v>
      </c>
      <c r="C4" s="5">
        <f>SUM('Office P&amp;L'!C20:'Office P&amp;L'!C31)</f>
        <v>16939.466666666667</v>
      </c>
      <c r="D4" s="5">
        <f>SUM('Office P&amp;L'!D20:'Office P&amp;L'!D31)</f>
        <v>16939.466666666667</v>
      </c>
      <c r="E4" s="5">
        <f>SUM('Office P&amp;L'!E20:'Office P&amp;L'!E31)</f>
        <v>16939.466666666667</v>
      </c>
      <c r="F4" s="5">
        <f>SUM('Office P&amp;L'!F20:'Office P&amp;L'!F31)</f>
        <v>26029.866666666669</v>
      </c>
      <c r="G4" s="5">
        <f>SUM('Office P&amp;L'!G20:'Office P&amp;L'!G31)</f>
        <v>26029.866666666669</v>
      </c>
      <c r="H4" s="5">
        <f>SUM('Office P&amp;L'!H20:'Office P&amp;L'!H31)</f>
        <v>26029.866666666669</v>
      </c>
      <c r="I4" s="5">
        <f>SUM('Office P&amp;L'!I20:'Office P&amp;L'!I31)</f>
        <v>26029.866666666669</v>
      </c>
      <c r="J4" s="5">
        <f>SUM('Office P&amp;L'!J20:'Office P&amp;L'!J31)</f>
        <v>26029.866666666669</v>
      </c>
    </row>
    <row r="5" spans="1:10" x14ac:dyDescent="0.25">
      <c r="A5" s="1" t="s">
        <v>174</v>
      </c>
      <c r="B5" s="5">
        <f>B3-B4</f>
        <v>-16939.466666666667</v>
      </c>
      <c r="C5" s="5">
        <f t="shared" ref="C5:J5" si="0">C3-C4</f>
        <v>-16939.466666666667</v>
      </c>
      <c r="D5" s="5">
        <f t="shared" si="0"/>
        <v>-16939.466666666667</v>
      </c>
      <c r="E5" s="5">
        <f t="shared" si="0"/>
        <v>-16939.466666666667</v>
      </c>
      <c r="F5" s="5">
        <f t="shared" si="0"/>
        <v>10630.133333333331</v>
      </c>
      <c r="G5" s="5">
        <f t="shared" si="0"/>
        <v>32626.133333333331</v>
      </c>
      <c r="H5" s="5">
        <f t="shared" si="0"/>
        <v>54622.133333333331</v>
      </c>
      <c r="I5" s="5">
        <f t="shared" si="0"/>
        <v>76618.133333333331</v>
      </c>
      <c r="J5" s="5">
        <f t="shared" si="0"/>
        <v>91282.133333333331</v>
      </c>
    </row>
    <row r="6" spans="1:10" x14ac:dyDescent="0.25">
      <c r="A6" s="1" t="s">
        <v>191</v>
      </c>
      <c r="B6" s="5">
        <v>500</v>
      </c>
      <c r="C6" s="5">
        <v>500</v>
      </c>
      <c r="D6" s="5">
        <v>500</v>
      </c>
      <c r="E6" s="5">
        <v>500</v>
      </c>
      <c r="F6" s="5">
        <v>500</v>
      </c>
      <c r="G6" s="5">
        <v>500</v>
      </c>
      <c r="H6" s="5">
        <v>500</v>
      </c>
      <c r="I6" s="5">
        <v>500</v>
      </c>
      <c r="J6" s="5">
        <v>500</v>
      </c>
    </row>
    <row r="7" spans="1:10" x14ac:dyDescent="0.25">
      <c r="A7" s="1" t="s">
        <v>190</v>
      </c>
      <c r="B7" s="5">
        <f>B5-B6</f>
        <v>-17439.466666666667</v>
      </c>
      <c r="C7" s="5">
        <f t="shared" ref="C7:J7" si="1">C5-C6</f>
        <v>-17439.466666666667</v>
      </c>
      <c r="D7" s="5">
        <f t="shared" si="1"/>
        <v>-17439.466666666667</v>
      </c>
      <c r="E7" s="5">
        <f t="shared" si="1"/>
        <v>-17439.466666666667</v>
      </c>
      <c r="F7" s="5">
        <f t="shared" si="1"/>
        <v>10130.133333333331</v>
      </c>
      <c r="G7" s="5">
        <f t="shared" si="1"/>
        <v>32126.133333333331</v>
      </c>
      <c r="H7" s="5">
        <f t="shared" si="1"/>
        <v>54122.133333333331</v>
      </c>
      <c r="I7" s="5">
        <f t="shared" si="1"/>
        <v>76118.133333333331</v>
      </c>
      <c r="J7" s="5">
        <f t="shared" si="1"/>
        <v>90782.133333333331</v>
      </c>
    </row>
    <row r="8" spans="1:10" x14ac:dyDescent="0.25"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B9" s="38" t="s">
        <v>179</v>
      </c>
      <c r="C9" s="38"/>
      <c r="D9" s="38"/>
      <c r="E9" s="38"/>
      <c r="F9" s="38"/>
      <c r="G9" s="38"/>
      <c r="H9" s="38"/>
      <c r="I9" s="38"/>
      <c r="J9" s="38"/>
    </row>
    <row r="10" spans="1:10" x14ac:dyDescent="0.25">
      <c r="B10" s="39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39">
        <v>7</v>
      </c>
      <c r="I10" s="39">
        <v>8</v>
      </c>
      <c r="J10" s="39" t="s">
        <v>192</v>
      </c>
    </row>
    <row r="11" spans="1:10" ht="17.25" x14ac:dyDescent="0.3">
      <c r="A11" s="40" t="s">
        <v>194</v>
      </c>
      <c r="B11" s="5">
        <f>SUM('Office P&amp;L'!B13:'Office P&amp;L'!B18)</f>
        <v>10000</v>
      </c>
      <c r="C11" s="5">
        <f>SUM('Office P&amp;L'!C13:'Office P&amp;L'!C18)</f>
        <v>10000</v>
      </c>
      <c r="D11" s="5">
        <f>SUM('Office P&amp;L'!D13:'Office P&amp;L'!D18)</f>
        <v>100000</v>
      </c>
      <c r="E11" s="5">
        <f>SUM('Office P&amp;L'!E13:'Office P&amp;L'!E18)</f>
        <v>190000</v>
      </c>
      <c r="F11" s="5">
        <f>SUM('Office P&amp;L'!F13:'Office P&amp;L'!F18)</f>
        <v>0</v>
      </c>
      <c r="G11" s="5">
        <f>SUM('Office P&amp;L'!G13:'Office P&amp;L'!G18)</f>
        <v>0</v>
      </c>
      <c r="H11" s="5">
        <f>SUM('Office P&amp;L'!H13:'Office P&amp;L'!H18)</f>
        <v>0</v>
      </c>
      <c r="I11" s="5">
        <f>SUM('Office P&amp;L'!I13:'Office P&amp;L'!I18)</f>
        <v>0</v>
      </c>
      <c r="J11" s="5">
        <f>SUM('Office P&amp;L'!J13:'Office P&amp;L'!J18)</f>
        <v>0</v>
      </c>
    </row>
    <row r="12" spans="1:10" x14ac:dyDescent="0.25"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B13" s="38" t="s">
        <v>179</v>
      </c>
      <c r="C13" s="38"/>
      <c r="D13" s="38"/>
      <c r="E13" s="38"/>
      <c r="F13" s="38"/>
      <c r="G13" s="38"/>
      <c r="H13" s="38"/>
      <c r="I13" s="38"/>
      <c r="J13" s="38"/>
    </row>
    <row r="14" spans="1:10" ht="17.25" x14ac:dyDescent="0.3">
      <c r="A14" s="40" t="s">
        <v>195</v>
      </c>
      <c r="B14" s="39">
        <v>1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39" t="s">
        <v>192</v>
      </c>
    </row>
    <row r="15" spans="1:10" x14ac:dyDescent="0.25">
      <c r="A15" s="1" t="s">
        <v>0</v>
      </c>
      <c r="B15" s="5">
        <f>'Daycare P&amp;L'!B6</f>
        <v>0</v>
      </c>
      <c r="C15" s="5">
        <f>'Daycare P&amp;L'!C6</f>
        <v>0</v>
      </c>
      <c r="D15" s="5">
        <f>'Daycare P&amp;L'!D6</f>
        <v>0</v>
      </c>
      <c r="E15" s="5">
        <f>'Daycare P&amp;L'!E6</f>
        <v>0</v>
      </c>
      <c r="F15" s="5">
        <f>'Daycare P&amp;L'!F6</f>
        <v>23400</v>
      </c>
      <c r="G15" s="5">
        <f>'Daycare P&amp;L'!G6</f>
        <v>46800</v>
      </c>
      <c r="H15" s="5">
        <f>'Daycare P&amp;L'!H6</f>
        <v>70200</v>
      </c>
      <c r="I15" s="5">
        <f>'Daycare P&amp;L'!I6</f>
        <v>93600</v>
      </c>
      <c r="J15" s="5">
        <f>'Daycare P&amp;L'!J6</f>
        <v>93600</v>
      </c>
    </row>
    <row r="16" spans="1:10" x14ac:dyDescent="0.25">
      <c r="A16" s="1" t="s">
        <v>189</v>
      </c>
      <c r="B16" s="5">
        <f>SUM('Daycare P&amp;L'!B20:'Daycare P&amp;L'!B31)</f>
        <v>4386.9666666666672</v>
      </c>
      <c r="C16" s="5">
        <f>SUM('Daycare P&amp;L'!C20:'Daycare P&amp;L'!C31)</f>
        <v>4386.9666666666672</v>
      </c>
      <c r="D16" s="5">
        <f>SUM('Daycare P&amp;L'!D20:'Daycare P&amp;L'!D31)</f>
        <v>4386.9666666666672</v>
      </c>
      <c r="E16" s="5">
        <f>SUM('Daycare P&amp;L'!E20:'Daycare P&amp;L'!E31)</f>
        <v>4386.9666666666672</v>
      </c>
      <c r="F16" s="5">
        <f>SUM('Daycare P&amp;L'!F20:'Daycare P&amp;L'!F31)</f>
        <v>25605.766666666663</v>
      </c>
      <c r="G16" s="5">
        <f>SUM('Daycare P&amp;L'!G20:'Daycare P&amp;L'!G31)</f>
        <v>25605.766666666663</v>
      </c>
      <c r="H16" s="5">
        <f>SUM('Daycare P&amp;L'!H20:'Daycare P&amp;L'!H31)</f>
        <v>25605.766666666663</v>
      </c>
      <c r="I16" s="5">
        <f>SUM('Daycare P&amp;L'!I20:'Daycare P&amp;L'!I31)</f>
        <v>25605.766666666663</v>
      </c>
      <c r="J16" s="5">
        <f>SUM('Daycare P&amp;L'!J20:'Daycare P&amp;L'!J31)</f>
        <v>25605.766666666663</v>
      </c>
    </row>
    <row r="17" spans="1:10" x14ac:dyDescent="0.25">
      <c r="A17" s="1" t="s">
        <v>174</v>
      </c>
      <c r="B17" s="5">
        <f>B15-B16</f>
        <v>-4386.9666666666672</v>
      </c>
      <c r="C17" s="5">
        <f t="shared" ref="C17" si="2">C15-C16</f>
        <v>-4386.9666666666672</v>
      </c>
      <c r="D17" s="5">
        <f t="shared" ref="D17" si="3">D15-D16</f>
        <v>-4386.9666666666672</v>
      </c>
      <c r="E17" s="5">
        <f t="shared" ref="E17" si="4">E15-E16</f>
        <v>-4386.9666666666672</v>
      </c>
      <c r="F17" s="5">
        <f t="shared" ref="F17" si="5">F15-F16</f>
        <v>-2205.7666666666628</v>
      </c>
      <c r="G17" s="5">
        <f t="shared" ref="G17" si="6">G15-G16</f>
        <v>21194.233333333337</v>
      </c>
      <c r="H17" s="5">
        <f t="shared" ref="H17" si="7">H15-H16</f>
        <v>44594.233333333337</v>
      </c>
      <c r="I17" s="5">
        <f t="shared" ref="I17" si="8">I15-I16</f>
        <v>67994.233333333337</v>
      </c>
      <c r="J17" s="5">
        <f t="shared" ref="J17" si="9">J15-J16</f>
        <v>67994.233333333337</v>
      </c>
    </row>
    <row r="18" spans="1:10" x14ac:dyDescent="0.25">
      <c r="A18" s="1" t="s">
        <v>191</v>
      </c>
      <c r="B18" s="5">
        <v>500</v>
      </c>
      <c r="C18" s="5">
        <v>500</v>
      </c>
      <c r="D18" s="5">
        <v>500</v>
      </c>
      <c r="E18" s="5">
        <v>500</v>
      </c>
      <c r="F18" s="5">
        <v>500</v>
      </c>
      <c r="G18" s="5">
        <v>500</v>
      </c>
      <c r="H18" s="5">
        <v>500</v>
      </c>
      <c r="I18" s="5">
        <v>500</v>
      </c>
      <c r="J18" s="5">
        <v>500</v>
      </c>
    </row>
    <row r="19" spans="1:10" x14ac:dyDescent="0.25">
      <c r="A19" s="1" t="s">
        <v>190</v>
      </c>
      <c r="B19" s="5">
        <f>B17-B18</f>
        <v>-4886.9666666666672</v>
      </c>
      <c r="C19" s="5">
        <f t="shared" ref="C19" si="10">C17-C18</f>
        <v>-4886.9666666666672</v>
      </c>
      <c r="D19" s="5">
        <f t="shared" ref="D19" si="11">D17-D18</f>
        <v>-4886.9666666666672</v>
      </c>
      <c r="E19" s="5">
        <f t="shared" ref="E19" si="12">E17-E18</f>
        <v>-4886.9666666666672</v>
      </c>
      <c r="F19" s="5">
        <f t="shared" ref="F19" si="13">F17-F18</f>
        <v>-2705.7666666666628</v>
      </c>
      <c r="G19" s="5">
        <f t="shared" ref="G19" si="14">G17-G18</f>
        <v>20694.233333333337</v>
      </c>
      <c r="H19" s="5">
        <f t="shared" ref="H19" si="15">H17-H18</f>
        <v>44094.233333333337</v>
      </c>
      <c r="I19" s="5">
        <f t="shared" ref="I19" si="16">I17-I18</f>
        <v>67494.233333333337</v>
      </c>
      <c r="J19" s="5">
        <f t="shared" ref="J19" si="17">J17-J18</f>
        <v>67494.233333333337</v>
      </c>
    </row>
    <row r="20" spans="1:10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38" t="s">
        <v>179</v>
      </c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B22" s="39">
        <v>1</v>
      </c>
      <c r="C22" s="39">
        <v>2</v>
      </c>
      <c r="D22" s="39">
        <v>3</v>
      </c>
      <c r="E22" s="39">
        <v>4</v>
      </c>
      <c r="F22" s="39">
        <v>5</v>
      </c>
      <c r="G22" s="39">
        <v>6</v>
      </c>
      <c r="H22" s="39">
        <v>7</v>
      </c>
      <c r="I22" s="39">
        <v>8</v>
      </c>
      <c r="J22" s="39" t="s">
        <v>192</v>
      </c>
    </row>
    <row r="23" spans="1:10" ht="17.25" x14ac:dyDescent="0.3">
      <c r="A23" s="40" t="s">
        <v>194</v>
      </c>
      <c r="B23" s="5">
        <f>SUM('Daycare P&amp;L'!B13:'Daycare P&amp;L'!B17)</f>
        <v>2500</v>
      </c>
      <c r="C23" s="5">
        <f>SUM('Daycare P&amp;L'!C13:'Daycare P&amp;L'!C17)</f>
        <v>2500</v>
      </c>
      <c r="D23" s="5">
        <f>SUM('Daycare P&amp;L'!D13:'Daycare P&amp;L'!D17)</f>
        <v>25000</v>
      </c>
      <c r="E23" s="5">
        <f>SUM('Daycare P&amp;L'!E13:'Daycare P&amp;L'!E17)</f>
        <v>30440</v>
      </c>
      <c r="F23" s="5">
        <f>SUM('Daycare P&amp;L'!F13:'Daycare P&amp;L'!F17)</f>
        <v>0</v>
      </c>
      <c r="G23" s="5">
        <f>SUM('Daycare P&amp;L'!G13:'Daycare P&amp;L'!G17)</f>
        <v>0</v>
      </c>
      <c r="H23" s="5">
        <f>SUM('Daycare P&amp;L'!H13:'Daycare P&amp;L'!H17)</f>
        <v>0</v>
      </c>
      <c r="I23" s="5">
        <f>SUM('Daycare P&amp;L'!I13:'Daycare P&amp;L'!I17)</f>
        <v>0</v>
      </c>
      <c r="J23" s="5">
        <f>SUM('Daycare P&amp;L'!J13:'Daycare P&amp;L'!J17)</f>
        <v>0</v>
      </c>
    </row>
    <row r="24" spans="1:10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B25" s="38" t="s">
        <v>179</v>
      </c>
      <c r="C25" s="38"/>
      <c r="D25" s="38"/>
      <c r="E25" s="38"/>
      <c r="F25" s="38"/>
      <c r="G25" s="38"/>
      <c r="H25" s="38"/>
      <c r="I25" s="38"/>
      <c r="J25" s="38"/>
    </row>
    <row r="26" spans="1:10" ht="17.25" x14ac:dyDescent="0.3">
      <c r="A26" s="40" t="s">
        <v>196</v>
      </c>
      <c r="B26" s="39">
        <v>1</v>
      </c>
      <c r="C26" s="39">
        <v>2</v>
      </c>
      <c r="D26" s="39">
        <v>3</v>
      </c>
      <c r="E26" s="39">
        <v>4</v>
      </c>
      <c r="F26" s="39">
        <v>5</v>
      </c>
      <c r="G26" s="39">
        <v>6</v>
      </c>
      <c r="H26" s="39">
        <v>7</v>
      </c>
      <c r="I26" s="39">
        <v>8</v>
      </c>
      <c r="J26" s="39" t="s">
        <v>192</v>
      </c>
    </row>
    <row r="27" spans="1:10" x14ac:dyDescent="0.25">
      <c r="A27" s="1" t="s">
        <v>0</v>
      </c>
      <c r="B27" s="5">
        <f>B3+B15</f>
        <v>0</v>
      </c>
      <c r="C27" s="5">
        <f t="shared" ref="C27:J27" si="18">C3+C15</f>
        <v>0</v>
      </c>
      <c r="D27" s="5">
        <f t="shared" si="18"/>
        <v>0</v>
      </c>
      <c r="E27" s="5">
        <f t="shared" si="18"/>
        <v>0</v>
      </c>
      <c r="F27" s="5">
        <f t="shared" si="18"/>
        <v>60060</v>
      </c>
      <c r="G27" s="5">
        <f t="shared" si="18"/>
        <v>105456</v>
      </c>
      <c r="H27" s="5">
        <f t="shared" si="18"/>
        <v>150852</v>
      </c>
      <c r="I27" s="5">
        <f t="shared" si="18"/>
        <v>196248</v>
      </c>
      <c r="J27" s="5">
        <f t="shared" si="18"/>
        <v>210912</v>
      </c>
    </row>
    <row r="28" spans="1:10" x14ac:dyDescent="0.25">
      <c r="A28" s="1" t="s">
        <v>189</v>
      </c>
      <c r="B28" s="5">
        <f>B4+B16</f>
        <v>21326.433333333334</v>
      </c>
      <c r="C28" s="5">
        <f t="shared" ref="C28:J28" si="19">C4+C16</f>
        <v>21326.433333333334</v>
      </c>
      <c r="D28" s="5">
        <f t="shared" si="19"/>
        <v>21326.433333333334</v>
      </c>
      <c r="E28" s="5">
        <f t="shared" si="19"/>
        <v>21326.433333333334</v>
      </c>
      <c r="F28" s="5">
        <f t="shared" si="19"/>
        <v>51635.633333333331</v>
      </c>
      <c r="G28" s="5">
        <f t="shared" si="19"/>
        <v>51635.633333333331</v>
      </c>
      <c r="H28" s="5">
        <f t="shared" si="19"/>
        <v>51635.633333333331</v>
      </c>
      <c r="I28" s="5">
        <f t="shared" si="19"/>
        <v>51635.633333333331</v>
      </c>
      <c r="J28" s="5">
        <f t="shared" si="19"/>
        <v>51635.633333333331</v>
      </c>
    </row>
    <row r="29" spans="1:10" x14ac:dyDescent="0.25">
      <c r="A29" s="1" t="s">
        <v>174</v>
      </c>
      <c r="B29" s="5">
        <f>B27-B28</f>
        <v>-21326.433333333334</v>
      </c>
      <c r="C29" s="5">
        <f t="shared" ref="C29" si="20">C27-C28</f>
        <v>-21326.433333333334</v>
      </c>
      <c r="D29" s="5">
        <f t="shared" ref="D29" si="21">D27-D28</f>
        <v>-21326.433333333334</v>
      </c>
      <c r="E29" s="5">
        <f t="shared" ref="E29" si="22">E27-E28</f>
        <v>-21326.433333333334</v>
      </c>
      <c r="F29" s="5">
        <f t="shared" ref="F29" si="23">F27-F28</f>
        <v>8424.3666666666686</v>
      </c>
      <c r="G29" s="5">
        <f t="shared" ref="G29" si="24">G27-G28</f>
        <v>53820.366666666669</v>
      </c>
      <c r="H29" s="5">
        <f t="shared" ref="H29" si="25">H27-H28</f>
        <v>99216.366666666669</v>
      </c>
      <c r="I29" s="5">
        <f t="shared" ref="I29" si="26">I27-I28</f>
        <v>144612.36666666667</v>
      </c>
      <c r="J29" s="5">
        <f t="shared" ref="J29" si="27">J27-J28</f>
        <v>159276.36666666667</v>
      </c>
    </row>
    <row r="30" spans="1:10" x14ac:dyDescent="0.25">
      <c r="A30" s="1" t="s">
        <v>191</v>
      </c>
      <c r="B30" s="5">
        <f>B6+B18</f>
        <v>1000</v>
      </c>
      <c r="C30" s="5">
        <f t="shared" ref="C30:J30" si="28">C6+C18</f>
        <v>1000</v>
      </c>
      <c r="D30" s="5">
        <f t="shared" si="28"/>
        <v>1000</v>
      </c>
      <c r="E30" s="5">
        <f t="shared" si="28"/>
        <v>1000</v>
      </c>
      <c r="F30" s="5">
        <f t="shared" si="28"/>
        <v>1000</v>
      </c>
      <c r="G30" s="5">
        <f t="shared" si="28"/>
        <v>1000</v>
      </c>
      <c r="H30" s="5">
        <f t="shared" si="28"/>
        <v>1000</v>
      </c>
      <c r="I30" s="5">
        <f t="shared" si="28"/>
        <v>1000</v>
      </c>
      <c r="J30" s="5">
        <f t="shared" si="28"/>
        <v>1000</v>
      </c>
    </row>
    <row r="31" spans="1:10" x14ac:dyDescent="0.25">
      <c r="A31" s="1" t="s">
        <v>190</v>
      </c>
      <c r="B31" s="5">
        <f>B29-B30</f>
        <v>-22326.433333333334</v>
      </c>
      <c r="C31" s="5">
        <f t="shared" ref="C31" si="29">C29-C30</f>
        <v>-22326.433333333334</v>
      </c>
      <c r="D31" s="5">
        <f t="shared" ref="D31" si="30">D29-D30</f>
        <v>-22326.433333333334</v>
      </c>
      <c r="E31" s="5">
        <f t="shared" ref="E31" si="31">E29-E30</f>
        <v>-22326.433333333334</v>
      </c>
      <c r="F31" s="5">
        <f t="shared" ref="F31" si="32">F29-F30</f>
        <v>7424.3666666666686</v>
      </c>
      <c r="G31" s="5">
        <f t="shared" ref="G31" si="33">G29-G30</f>
        <v>52820.366666666669</v>
      </c>
      <c r="H31" s="5">
        <f t="shared" ref="H31" si="34">H29-H30</f>
        <v>98216.366666666669</v>
      </c>
      <c r="I31" s="5">
        <f t="shared" ref="I31" si="35">I29-I30</f>
        <v>143612.36666666667</v>
      </c>
      <c r="J31" s="5">
        <f t="shared" ref="J31" si="36">J29-J30</f>
        <v>158276.36666666667</v>
      </c>
    </row>
    <row r="32" spans="1:10" x14ac:dyDescent="0.25"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B33" s="38" t="s">
        <v>179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25">
      <c r="B34" s="39">
        <v>1</v>
      </c>
      <c r="C34" s="39">
        <v>2</v>
      </c>
      <c r="D34" s="39">
        <v>3</v>
      </c>
      <c r="E34" s="39">
        <v>4</v>
      </c>
      <c r="F34" s="39">
        <v>5</v>
      </c>
      <c r="G34" s="39">
        <v>6</v>
      </c>
      <c r="H34" s="39">
        <v>7</v>
      </c>
      <c r="I34" s="39">
        <v>8</v>
      </c>
      <c r="J34" s="39" t="s">
        <v>192</v>
      </c>
    </row>
    <row r="35" spans="1:10" ht="17.25" x14ac:dyDescent="0.3">
      <c r="A35" s="40" t="s">
        <v>197</v>
      </c>
      <c r="B35" s="5">
        <f>B11+B23</f>
        <v>12500</v>
      </c>
      <c r="C35" s="5">
        <f t="shared" ref="C35:J35" si="37">C11+C23</f>
        <v>12500</v>
      </c>
      <c r="D35" s="5">
        <f t="shared" si="37"/>
        <v>125000</v>
      </c>
      <c r="E35" s="5">
        <f t="shared" si="37"/>
        <v>220440</v>
      </c>
      <c r="F35" s="5">
        <f t="shared" si="37"/>
        <v>0</v>
      </c>
      <c r="G35" s="5">
        <f t="shared" si="37"/>
        <v>0</v>
      </c>
      <c r="H35" s="5">
        <f t="shared" si="37"/>
        <v>0</v>
      </c>
      <c r="I35" s="5">
        <f t="shared" si="37"/>
        <v>0</v>
      </c>
      <c r="J35" s="5">
        <f t="shared" si="37"/>
        <v>0</v>
      </c>
    </row>
  </sheetData>
  <mergeCells count="6">
    <mergeCell ref="B1:J1"/>
    <mergeCell ref="B9:J9"/>
    <mergeCell ref="B13:J13"/>
    <mergeCell ref="B21:J21"/>
    <mergeCell ref="B25:J25"/>
    <mergeCell ref="B33:J33"/>
  </mergeCells>
  <pageMargins left="0.7" right="0.7" top="0.75" bottom="0.75" header="0.3" footer="0.3"/>
  <ignoredErrors>
    <ignoredError sqref="B28:J29 B30: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6"/>
  <sheetViews>
    <sheetView zoomScale="90" zoomScaleNormal="90" workbookViewId="0">
      <selection activeCell="F6" sqref="F6"/>
    </sheetView>
  </sheetViews>
  <sheetFormatPr defaultRowHeight="15" x14ac:dyDescent="0.25"/>
  <cols>
    <col min="1" max="1" width="27" bestFit="1" customWidth="1"/>
    <col min="2" max="2" width="14.28515625" bestFit="1" customWidth="1"/>
    <col min="3" max="3" width="16.140625" bestFit="1" customWidth="1"/>
    <col min="4" max="4" width="12.85546875" bestFit="1" customWidth="1"/>
    <col min="5" max="5" width="12.42578125" bestFit="1" customWidth="1"/>
    <col min="6" max="6" width="11.85546875" bestFit="1" customWidth="1"/>
    <col min="7" max="7" width="11.7109375" bestFit="1" customWidth="1"/>
    <col min="8" max="8" width="12.5703125" bestFit="1" customWidth="1"/>
    <col min="9" max="13" width="12.7109375" bestFit="1" customWidth="1"/>
    <col min="14" max="16" width="10.5703125" bestFit="1" customWidth="1"/>
    <col min="17" max="37" width="12.140625" bestFit="1" customWidth="1"/>
  </cols>
  <sheetData>
    <row r="1" spans="1:37" x14ac:dyDescent="0.25">
      <c r="A1" t="s">
        <v>2</v>
      </c>
    </row>
    <row r="3" spans="1:37" x14ac:dyDescent="0.25">
      <c r="A3" s="1" t="s">
        <v>0</v>
      </c>
    </row>
    <row r="4" spans="1:37" x14ac:dyDescent="0.25">
      <c r="B4" t="s">
        <v>1</v>
      </c>
    </row>
    <row r="5" spans="1:37" x14ac:dyDescent="0.2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</row>
    <row r="6" spans="1:37" x14ac:dyDescent="0.25">
      <c r="A6" t="s">
        <v>29</v>
      </c>
      <c r="B6" s="5">
        <f>Inputs!B3*Inputs!$B$11</f>
        <v>0</v>
      </c>
      <c r="C6" s="5">
        <f>Inputs!C3*Inputs!$B$11</f>
        <v>0</v>
      </c>
      <c r="D6" s="5">
        <f>Inputs!D3*Inputs!$B$11</f>
        <v>0</v>
      </c>
      <c r="E6" s="5">
        <f>Inputs!E3*Inputs!$B$11</f>
        <v>0</v>
      </c>
      <c r="F6" s="5">
        <f>Inputs!F3*Inputs!$B$11</f>
        <v>36660</v>
      </c>
      <c r="G6" s="5">
        <f>Inputs!G3*Inputs!$B$11</f>
        <v>58656</v>
      </c>
      <c r="H6" s="5">
        <f>Inputs!H3*Inputs!$B$11</f>
        <v>80652</v>
      </c>
      <c r="I6" s="5">
        <f>Inputs!I3*Inputs!$B$11</f>
        <v>102648</v>
      </c>
      <c r="J6" s="5">
        <f>Inputs!J3*Inputs!$B$11</f>
        <v>117312</v>
      </c>
      <c r="K6" s="5">
        <f>Inputs!K3*Inputs!$B$11</f>
        <v>117312</v>
      </c>
      <c r="L6" s="5">
        <f>Inputs!L3*Inputs!$B$11</f>
        <v>117312</v>
      </c>
      <c r="M6" s="5">
        <f>Inputs!M3*Inputs!$B$11</f>
        <v>117312</v>
      </c>
      <c r="N6" s="5">
        <f>Inputs!N3*Inputs!$B$11</f>
        <v>117312</v>
      </c>
      <c r="O6" s="5">
        <f>Inputs!O3*Inputs!$B$11</f>
        <v>117312</v>
      </c>
      <c r="P6" s="5">
        <f>Inputs!P3*Inputs!$B$11</f>
        <v>117312</v>
      </c>
      <c r="Q6" s="5">
        <f>Inputs!Q3*Inputs!$B$11</f>
        <v>117312</v>
      </c>
      <c r="R6" s="5">
        <f>Inputs!R3*Inputs!$B$11</f>
        <v>117312</v>
      </c>
      <c r="S6" s="5">
        <f>Inputs!S3*Inputs!$B$11</f>
        <v>117312</v>
      </c>
      <c r="T6" s="5">
        <f>Inputs!T3*Inputs!$B$11</f>
        <v>117312</v>
      </c>
      <c r="U6" s="5">
        <f>Inputs!U3*Inputs!$B$11</f>
        <v>117312</v>
      </c>
      <c r="V6" s="5">
        <f>Inputs!V3*Inputs!$B$11</f>
        <v>117312</v>
      </c>
      <c r="W6" s="5">
        <f>Inputs!W3*Inputs!$B$11</f>
        <v>117312</v>
      </c>
      <c r="X6" s="5">
        <f>Inputs!X3*Inputs!$B$11</f>
        <v>117312</v>
      </c>
      <c r="Y6" s="5">
        <f>Inputs!Y3*Inputs!$B$11</f>
        <v>117312</v>
      </c>
      <c r="Z6" s="5">
        <f>Inputs!Z3*Inputs!$B$11</f>
        <v>117312</v>
      </c>
      <c r="AA6" s="5">
        <f>Inputs!AA3*Inputs!$B$11</f>
        <v>117312</v>
      </c>
      <c r="AB6" s="5">
        <f>Inputs!AB3*Inputs!$B$11</f>
        <v>117312</v>
      </c>
      <c r="AC6" s="5">
        <f>Inputs!AC3*Inputs!$B$11</f>
        <v>117312</v>
      </c>
      <c r="AD6" s="5">
        <f>Inputs!AD3*Inputs!$B$11</f>
        <v>117312</v>
      </c>
      <c r="AE6" s="5">
        <f>Inputs!AE3*Inputs!$B$11</f>
        <v>117312</v>
      </c>
      <c r="AF6" s="5">
        <f>Inputs!AF3*Inputs!$B$11</f>
        <v>117312</v>
      </c>
      <c r="AG6" s="5">
        <f>Inputs!AG3*Inputs!$B$11</f>
        <v>117312</v>
      </c>
      <c r="AH6" s="5">
        <f>Inputs!AH3*Inputs!$B$11</f>
        <v>117312</v>
      </c>
      <c r="AI6" s="5">
        <f>Inputs!AI3*Inputs!$B$11</f>
        <v>117312</v>
      </c>
      <c r="AJ6" s="5">
        <f>Inputs!AJ3*Inputs!$B$11</f>
        <v>117312</v>
      </c>
      <c r="AK6" s="5">
        <f>Inputs!AK3*Inputs!$B$11</f>
        <v>117312</v>
      </c>
    </row>
    <row r="7" spans="1:37" x14ac:dyDescent="0.25">
      <c r="A7" t="s">
        <v>158</v>
      </c>
      <c r="B7" s="32"/>
      <c r="C7" s="32"/>
      <c r="D7" s="32"/>
      <c r="E7" s="32"/>
      <c r="F7" s="32">
        <f>F6/Inputs!F5</f>
        <v>676.80000000000007</v>
      </c>
      <c r="G7" s="32">
        <f>G6/Inputs!G5</f>
        <v>676.79999999999984</v>
      </c>
      <c r="H7" s="32">
        <f>H6/Inputs!H5</f>
        <v>676.79999999999984</v>
      </c>
      <c r="I7" s="32">
        <f>I6/Inputs!I5</f>
        <v>676.80000000000018</v>
      </c>
      <c r="J7" s="32">
        <f>J6/Inputs!J5</f>
        <v>676.79999999999984</v>
      </c>
      <c r="K7" s="32">
        <f>K6/Inputs!K5</f>
        <v>676.79999999999984</v>
      </c>
      <c r="L7" s="32">
        <f>L6/Inputs!L5</f>
        <v>676.79999999999984</v>
      </c>
      <c r="M7" s="32">
        <f>M6/Inputs!M5</f>
        <v>676.79999999999984</v>
      </c>
      <c r="N7" s="32">
        <f>N6/Inputs!N5</f>
        <v>676.79999999999984</v>
      </c>
      <c r="O7" s="32">
        <f>O6/Inputs!O5</f>
        <v>676.79999999999984</v>
      </c>
      <c r="P7" s="32">
        <f>P6/Inputs!P5</f>
        <v>676.79999999999984</v>
      </c>
      <c r="Q7" s="32">
        <f>Q6/Inputs!Q5</f>
        <v>676.79999999999984</v>
      </c>
      <c r="R7" s="32">
        <f>R6/Inputs!R5</f>
        <v>676.79999999999984</v>
      </c>
      <c r="S7" s="32">
        <f>S6/Inputs!S5</f>
        <v>676.79999999999984</v>
      </c>
      <c r="T7" s="32">
        <f>T6/Inputs!T5</f>
        <v>676.79999999999984</v>
      </c>
      <c r="U7" s="32">
        <f>U6/Inputs!U5</f>
        <v>676.79999999999984</v>
      </c>
      <c r="V7" s="32">
        <f>V6/Inputs!V5</f>
        <v>676.79999999999984</v>
      </c>
      <c r="W7" s="32">
        <f>W6/Inputs!W5</f>
        <v>676.79999999999984</v>
      </c>
      <c r="X7" s="32">
        <f>X6/Inputs!X5</f>
        <v>676.79999999999984</v>
      </c>
      <c r="Y7" s="32">
        <f>Y6/Inputs!Y5</f>
        <v>676.79999999999984</v>
      </c>
      <c r="Z7" s="32">
        <f>Z6/Inputs!Z5</f>
        <v>676.79999999999984</v>
      </c>
      <c r="AA7" s="32">
        <f>AA6/Inputs!AA5</f>
        <v>676.79999999999984</v>
      </c>
      <c r="AB7" s="32">
        <f>AB6/Inputs!AB5</f>
        <v>676.79999999999984</v>
      </c>
      <c r="AC7" s="32">
        <f>AC6/Inputs!AC5</f>
        <v>676.79999999999984</v>
      </c>
      <c r="AD7" s="32">
        <f>AD6/Inputs!AD5</f>
        <v>676.79999999999984</v>
      </c>
      <c r="AE7" s="32">
        <f>AE6/Inputs!AE5</f>
        <v>676.79999999999984</v>
      </c>
      <c r="AF7" s="32">
        <f>AF6/Inputs!AF5</f>
        <v>676.79999999999984</v>
      </c>
      <c r="AG7" s="32">
        <f>AG6/Inputs!AG5</f>
        <v>676.79999999999984</v>
      </c>
      <c r="AH7" s="32">
        <f>AH6/Inputs!AH5</f>
        <v>676.79999999999984</v>
      </c>
      <c r="AI7" s="32">
        <f>AI6/Inputs!AI5</f>
        <v>676.79999999999984</v>
      </c>
      <c r="AJ7" s="32">
        <f>AJ6/Inputs!AJ5</f>
        <v>676.79999999999984</v>
      </c>
      <c r="AK7" s="32">
        <f>AK6/Inputs!AK5</f>
        <v>676.79999999999984</v>
      </c>
    </row>
    <row r="8" spans="1:37" x14ac:dyDescent="0.25">
      <c r="A8" t="s">
        <v>159</v>
      </c>
      <c r="B8" s="32"/>
      <c r="C8" s="32"/>
      <c r="D8" s="32"/>
      <c r="E8" s="32"/>
      <c r="F8" s="32">
        <f>F7/Inputs!$B$7</f>
        <v>9.4</v>
      </c>
      <c r="G8" s="32">
        <f>G7/Inputs!$B$7</f>
        <v>9.3999999999999986</v>
      </c>
      <c r="H8" s="32">
        <f>H7/Inputs!$B$7</f>
        <v>9.3999999999999986</v>
      </c>
      <c r="I8" s="32">
        <f>I7/Inputs!$B$7</f>
        <v>9.4000000000000021</v>
      </c>
      <c r="J8" s="32">
        <f>J7/Inputs!$B$7</f>
        <v>9.3999999999999986</v>
      </c>
      <c r="K8" s="32">
        <f>K7/Inputs!$B$7</f>
        <v>9.3999999999999986</v>
      </c>
      <c r="L8" s="32">
        <f>L7/Inputs!$B$7</f>
        <v>9.3999999999999986</v>
      </c>
      <c r="M8" s="32">
        <f>M7/Inputs!$B$7</f>
        <v>9.3999999999999986</v>
      </c>
      <c r="N8" s="32">
        <f>N7/Inputs!$B$7</f>
        <v>9.3999999999999986</v>
      </c>
      <c r="O8" s="32">
        <f>O7/Inputs!$B$7</f>
        <v>9.3999999999999986</v>
      </c>
      <c r="P8" s="32">
        <f>P7/Inputs!$B$7</f>
        <v>9.3999999999999986</v>
      </c>
      <c r="Q8" s="32">
        <f>Q7/Inputs!$B$7</f>
        <v>9.3999999999999986</v>
      </c>
      <c r="R8" s="32">
        <f>R7/Inputs!$B$7</f>
        <v>9.3999999999999986</v>
      </c>
      <c r="S8" s="32">
        <f>S7/Inputs!$B$7</f>
        <v>9.3999999999999986</v>
      </c>
      <c r="T8" s="32">
        <f>T7/Inputs!$B$7</f>
        <v>9.3999999999999986</v>
      </c>
      <c r="U8" s="32">
        <f>U7/Inputs!$B$7</f>
        <v>9.3999999999999986</v>
      </c>
      <c r="V8" s="32">
        <f>V7/Inputs!$B$7</f>
        <v>9.3999999999999986</v>
      </c>
      <c r="W8" s="32">
        <f>W7/Inputs!$B$7</f>
        <v>9.3999999999999986</v>
      </c>
      <c r="X8" s="32">
        <f>X7/Inputs!$B$7</f>
        <v>9.3999999999999986</v>
      </c>
      <c r="Y8" s="32">
        <f>Y7/Inputs!$B$7</f>
        <v>9.3999999999999986</v>
      </c>
      <c r="Z8" s="32">
        <f>Z7/Inputs!$B$7</f>
        <v>9.3999999999999986</v>
      </c>
      <c r="AA8" s="32">
        <f>AA7/Inputs!$B$7</f>
        <v>9.3999999999999986</v>
      </c>
      <c r="AB8" s="32">
        <f>AB7/Inputs!$B$7</f>
        <v>9.3999999999999986</v>
      </c>
      <c r="AC8" s="32">
        <f>AC7/Inputs!$B$7</f>
        <v>9.3999999999999986</v>
      </c>
      <c r="AD8" s="32">
        <f>AD7/Inputs!$B$7</f>
        <v>9.3999999999999986</v>
      </c>
      <c r="AE8" s="32">
        <f>AE7/Inputs!$B$7</f>
        <v>9.3999999999999986</v>
      </c>
      <c r="AF8" s="32">
        <f>AF7/Inputs!$B$7</f>
        <v>9.3999999999999986</v>
      </c>
      <c r="AG8" s="32">
        <f>AG7/Inputs!$B$7</f>
        <v>9.3999999999999986</v>
      </c>
      <c r="AH8" s="32">
        <f>AH7/Inputs!$B$7</f>
        <v>9.3999999999999986</v>
      </c>
      <c r="AI8" s="32">
        <f>AI7/Inputs!$B$7</f>
        <v>9.3999999999999986</v>
      </c>
      <c r="AJ8" s="32">
        <f>AJ7/Inputs!$B$7</f>
        <v>9.3999999999999986</v>
      </c>
      <c r="AK8" s="32">
        <f>AK7/Inputs!$B$7</f>
        <v>9.3999999999999986</v>
      </c>
    </row>
    <row r="10" spans="1:37" x14ac:dyDescent="0.25">
      <c r="A10" s="1" t="s">
        <v>3</v>
      </c>
    </row>
    <row r="12" spans="1:37" x14ac:dyDescent="0.25">
      <c r="A12" t="s">
        <v>8</v>
      </c>
    </row>
    <row r="13" spans="1:37" x14ac:dyDescent="0.25">
      <c r="A13" t="s">
        <v>53</v>
      </c>
      <c r="B13" s="5">
        <f>Inputs!B50*Inputs!B43/2</f>
        <v>2000</v>
      </c>
      <c r="C13" s="5">
        <f>Inputs!B50*Inputs!B43/2</f>
        <v>2000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37" x14ac:dyDescent="0.25">
      <c r="A14" t="s">
        <v>54</v>
      </c>
      <c r="B14" s="5">
        <f>Inputs!B51*Inputs!B43/2</f>
        <v>8000</v>
      </c>
      <c r="C14" s="5">
        <f>Inputs!B51*Inputs!B43/2</f>
        <v>8000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37" x14ac:dyDescent="0.25">
      <c r="A15" t="s">
        <v>18</v>
      </c>
      <c r="B15" s="5"/>
      <c r="C15" s="5"/>
      <c r="D15" s="5">
        <f>Inputs!B49*Inputs!B43/2</f>
        <v>100000</v>
      </c>
      <c r="E15" s="5">
        <f>Inputs!B49*Inputs!B43/2</f>
        <v>100000</v>
      </c>
      <c r="F15" s="5"/>
      <c r="G15" s="5"/>
      <c r="H15" s="5"/>
      <c r="I15" s="5"/>
      <c r="J15" s="5"/>
      <c r="K15" s="5"/>
      <c r="L15" s="5"/>
      <c r="M15" s="5"/>
    </row>
    <row r="16" spans="1:37" x14ac:dyDescent="0.25">
      <c r="A16" t="s">
        <v>5</v>
      </c>
      <c r="B16" s="5"/>
      <c r="C16" s="5"/>
      <c r="D16" s="5"/>
      <c r="E16" s="5">
        <f>Inputs!B17</f>
        <v>5000</v>
      </c>
      <c r="F16" s="5"/>
      <c r="G16" s="5"/>
      <c r="H16" s="5"/>
      <c r="I16" s="5"/>
      <c r="J16" s="5"/>
      <c r="K16" s="5"/>
      <c r="L16" s="5"/>
      <c r="M16" s="5"/>
    </row>
    <row r="17" spans="1:37" x14ac:dyDescent="0.25">
      <c r="A17" t="s">
        <v>4</v>
      </c>
      <c r="B17" s="5"/>
      <c r="C17" s="5"/>
      <c r="D17" s="5"/>
      <c r="E17" s="5">
        <f>Inputs!B15*Inputs!B16</f>
        <v>75000</v>
      </c>
      <c r="F17" s="5"/>
      <c r="G17" s="5"/>
      <c r="H17" s="5"/>
      <c r="I17" s="5"/>
      <c r="J17" s="5"/>
      <c r="K17" s="5"/>
      <c r="L17" s="5"/>
      <c r="M17" s="5"/>
    </row>
    <row r="18" spans="1:37" x14ac:dyDescent="0.25">
      <c r="A18" t="s">
        <v>23</v>
      </c>
      <c r="B18" s="5"/>
      <c r="C18" s="5"/>
      <c r="D18" s="5"/>
      <c r="E18" s="5">
        <f>Inputs!B18</f>
        <v>10000</v>
      </c>
      <c r="F18" s="5"/>
      <c r="G18" s="5"/>
      <c r="H18" s="5"/>
      <c r="I18" s="5"/>
      <c r="J18" s="5"/>
      <c r="K18" s="5"/>
      <c r="L18" s="5"/>
      <c r="M18" s="5"/>
    </row>
    <row r="20" spans="1:37" x14ac:dyDescent="0.25">
      <c r="A20" t="s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37" x14ac:dyDescent="0.25">
      <c r="A21" t="s">
        <v>30</v>
      </c>
      <c r="B21" s="5"/>
      <c r="C21" s="5"/>
      <c r="D21" s="5"/>
      <c r="E21" s="5"/>
      <c r="F21" s="5">
        <f>Inputs!$E$14*Inputs!$B$13*Inputs!$B$12</f>
        <v>5990.4</v>
      </c>
      <c r="G21" s="5">
        <f>Inputs!$E$14*Inputs!$B$13*Inputs!$B$12</f>
        <v>5990.4</v>
      </c>
      <c r="H21" s="5">
        <f>Inputs!$E$14*Inputs!$B$13*Inputs!$B$12</f>
        <v>5990.4</v>
      </c>
      <c r="I21" s="5">
        <f>Inputs!$E$14*Inputs!$B$13*Inputs!$B$12</f>
        <v>5990.4</v>
      </c>
      <c r="J21" s="5">
        <f>Inputs!$E$14*Inputs!$B$13*Inputs!$B$12</f>
        <v>5990.4</v>
      </c>
      <c r="K21" s="5">
        <f>Inputs!$E$14*Inputs!$B$13*Inputs!$B$12</f>
        <v>5990.4</v>
      </c>
      <c r="L21" s="5">
        <f>Inputs!$E$14*Inputs!$B$13*Inputs!$B$12</f>
        <v>5990.4</v>
      </c>
      <c r="M21" s="5">
        <f>Inputs!$E$14*Inputs!$B$13*Inputs!$B$12</f>
        <v>5990.4</v>
      </c>
      <c r="N21" s="5">
        <f>Inputs!$E$14*Inputs!$B$13*Inputs!$B$12</f>
        <v>5990.4</v>
      </c>
      <c r="O21" s="5">
        <f>Inputs!$E$14*Inputs!$B$13*Inputs!$B$12</f>
        <v>5990.4</v>
      </c>
      <c r="P21" s="5">
        <f>Inputs!$E$14*Inputs!$B$13*Inputs!$B$12</f>
        <v>5990.4</v>
      </c>
      <c r="Q21" s="5">
        <f>Inputs!$E$14*Inputs!$B$13*Inputs!$B$12</f>
        <v>5990.4</v>
      </c>
      <c r="R21" s="5">
        <f>Inputs!$E$14*Inputs!$B$13*Inputs!$B$12</f>
        <v>5990.4</v>
      </c>
      <c r="S21" s="5">
        <f>Inputs!$E$14*Inputs!$B$13*Inputs!$B$12</f>
        <v>5990.4</v>
      </c>
      <c r="T21" s="5">
        <f>Inputs!$E$14*Inputs!$B$13*Inputs!$B$12</f>
        <v>5990.4</v>
      </c>
      <c r="U21" s="5">
        <f>Inputs!$E$14*Inputs!$B$13*Inputs!$B$12</f>
        <v>5990.4</v>
      </c>
      <c r="V21" s="5">
        <f>Inputs!$E$14*Inputs!$B$13*Inputs!$B$12</f>
        <v>5990.4</v>
      </c>
      <c r="W21" s="5">
        <f>Inputs!$E$14*Inputs!$B$13*Inputs!$B$12</f>
        <v>5990.4</v>
      </c>
      <c r="X21" s="5">
        <f>Inputs!$E$14*Inputs!$B$13*Inputs!$B$12</f>
        <v>5990.4</v>
      </c>
      <c r="Y21" s="5">
        <f>Inputs!$E$14*Inputs!$B$13*Inputs!$B$12</f>
        <v>5990.4</v>
      </c>
      <c r="Z21" s="5">
        <f>Inputs!$E$14*Inputs!$B$13*Inputs!$B$12</f>
        <v>5990.4</v>
      </c>
      <c r="AA21" s="5">
        <f>Inputs!$E$14*Inputs!$B$13*Inputs!$B$12</f>
        <v>5990.4</v>
      </c>
      <c r="AB21" s="5">
        <f>Inputs!$E$14*Inputs!$B$13*Inputs!$B$12</f>
        <v>5990.4</v>
      </c>
      <c r="AC21" s="5">
        <f>Inputs!$E$14*Inputs!$B$13*Inputs!$B$12</f>
        <v>5990.4</v>
      </c>
      <c r="AD21" s="5">
        <f>Inputs!$E$14*Inputs!$B$13*Inputs!$B$12</f>
        <v>5990.4</v>
      </c>
      <c r="AE21" s="5">
        <f>Inputs!$E$14*Inputs!$B$13*Inputs!$B$12</f>
        <v>5990.4</v>
      </c>
      <c r="AF21" s="5">
        <f>Inputs!$E$14*Inputs!$B$13*Inputs!$B$12</f>
        <v>5990.4</v>
      </c>
      <c r="AG21" s="5">
        <f>Inputs!$E$14*Inputs!$B$13*Inputs!$B$12</f>
        <v>5990.4</v>
      </c>
      <c r="AH21" s="5">
        <f>Inputs!$E$14*Inputs!$B$13*Inputs!$B$12</f>
        <v>5990.4</v>
      </c>
      <c r="AI21" s="5">
        <f>Inputs!$E$14*Inputs!$B$13*Inputs!$B$12</f>
        <v>5990.4</v>
      </c>
      <c r="AJ21" s="5">
        <f>Inputs!$E$14*Inputs!$B$13*Inputs!$B$12</f>
        <v>5990.4</v>
      </c>
      <c r="AK21" s="5">
        <f>Inputs!$E$14*Inputs!$B$13*Inputs!$B$12</f>
        <v>5990.4</v>
      </c>
    </row>
    <row r="22" spans="1:37" x14ac:dyDescent="0.25">
      <c r="A22" t="s">
        <v>136</v>
      </c>
      <c r="B22" s="5">
        <f>Inputs!$B$54/12*(Inputs!$B$43/Inputs!$B$42)</f>
        <v>4000</v>
      </c>
      <c r="C22" s="5">
        <f>Inputs!$B$54/12*(Inputs!$B$43/Inputs!$B$42)</f>
        <v>4000</v>
      </c>
      <c r="D22" s="5">
        <f>Inputs!$B$54/12*(Inputs!$B$43/Inputs!$B$42)</f>
        <v>4000</v>
      </c>
      <c r="E22" s="5">
        <f>Inputs!$B$54/12*(Inputs!$B$43/Inputs!$B$42)</f>
        <v>4000</v>
      </c>
      <c r="F22" s="5">
        <f>Inputs!$B$54/12*(Inputs!$B$43/Inputs!$B$42)</f>
        <v>4000</v>
      </c>
      <c r="G22" s="5">
        <f>Inputs!$B$54/12*(Inputs!$B$43/Inputs!$B$42)</f>
        <v>4000</v>
      </c>
      <c r="H22" s="5">
        <f>Inputs!$B$54/12*(Inputs!$B$43/Inputs!$B$42)</f>
        <v>4000</v>
      </c>
      <c r="I22" s="5">
        <f>Inputs!$B$54/12*(Inputs!$B$43/Inputs!$B$42)</f>
        <v>4000</v>
      </c>
      <c r="J22" s="5">
        <f>Inputs!$B$54/12*(Inputs!$B$43/Inputs!$B$42)</f>
        <v>4000</v>
      </c>
      <c r="K22" s="5">
        <f>Inputs!$B$54/12*(Inputs!$B$43/Inputs!$B$42)</f>
        <v>4000</v>
      </c>
      <c r="L22" s="5">
        <f>Inputs!$B$54/12*(Inputs!$B$43/Inputs!$B$42)</f>
        <v>4000</v>
      </c>
      <c r="M22" s="5">
        <f>Inputs!$B$54/12*(Inputs!$B$43/Inputs!$B$42)</f>
        <v>4000</v>
      </c>
      <c r="N22" s="5">
        <f>Inputs!$B$54/12*(Inputs!$B$43/Inputs!$B$42)</f>
        <v>4000</v>
      </c>
      <c r="O22" s="5">
        <f>Inputs!$B$54/12*(Inputs!$B$43/Inputs!$B$42)</f>
        <v>4000</v>
      </c>
      <c r="P22" s="5">
        <f>Inputs!$B$54/12*(Inputs!$B$43/Inputs!$B$42)</f>
        <v>4000</v>
      </c>
      <c r="Q22" s="5">
        <f>Inputs!$B$54/12*(Inputs!$B$43/Inputs!$B$42)</f>
        <v>4000</v>
      </c>
      <c r="R22" s="5">
        <f>Inputs!$B$54/12*(Inputs!$B$43/Inputs!$B$42)</f>
        <v>4000</v>
      </c>
      <c r="S22" s="5">
        <f>Inputs!$B$54/12*(Inputs!$B$43/Inputs!$B$42)</f>
        <v>4000</v>
      </c>
      <c r="T22" s="5">
        <f>Inputs!$B$54/12*(Inputs!$B$43/Inputs!$B$42)</f>
        <v>4000</v>
      </c>
      <c r="U22" s="5">
        <f>Inputs!$B$54/12*(Inputs!$B$43/Inputs!$B$42)</f>
        <v>4000</v>
      </c>
      <c r="V22" s="5">
        <f>Inputs!$B$54/12*(Inputs!$B$43/Inputs!$B$42)</f>
        <v>4000</v>
      </c>
      <c r="W22" s="5">
        <f>Inputs!$B$54/12*(Inputs!$B$43/Inputs!$B$42)</f>
        <v>4000</v>
      </c>
      <c r="X22" s="5">
        <f>Inputs!$B$54/12*(Inputs!$B$43/Inputs!$B$42)</f>
        <v>4000</v>
      </c>
      <c r="Y22" s="5">
        <f>Inputs!$B$54/12*(Inputs!$B$43/Inputs!$B$42)</f>
        <v>4000</v>
      </c>
      <c r="Z22" s="5">
        <f>Inputs!$B$54/12*(Inputs!$B$43/Inputs!$B$42)</f>
        <v>4000</v>
      </c>
      <c r="AA22" s="5">
        <f>Inputs!$B$54/12*(Inputs!$B$43/Inputs!$B$42)</f>
        <v>4000</v>
      </c>
      <c r="AB22" s="5">
        <f>Inputs!$B$54/12*(Inputs!$B$43/Inputs!$B$42)</f>
        <v>4000</v>
      </c>
      <c r="AC22" s="5">
        <f>Inputs!$B$54/12*(Inputs!$B$43/Inputs!$B$42)</f>
        <v>4000</v>
      </c>
      <c r="AD22" s="5">
        <f>Inputs!$B$54/12*(Inputs!$B$43/Inputs!$B$42)</f>
        <v>4000</v>
      </c>
      <c r="AE22" s="5">
        <f>Inputs!$B$54/12*(Inputs!$B$43/Inputs!$B$42)</f>
        <v>4000</v>
      </c>
      <c r="AF22" s="5">
        <f>Inputs!$B$54/12*(Inputs!$B$43/Inputs!$B$42)</f>
        <v>4000</v>
      </c>
      <c r="AG22" s="5">
        <f>Inputs!$B$54/12*(Inputs!$B$43/Inputs!$B$42)</f>
        <v>4000</v>
      </c>
      <c r="AH22" s="5">
        <f>Inputs!$B$54/12*(Inputs!$B$43/Inputs!$B$42)</f>
        <v>4000</v>
      </c>
      <c r="AI22" s="5">
        <f>Inputs!$B$54/12*(Inputs!$B$43/Inputs!$B$42)</f>
        <v>4000</v>
      </c>
      <c r="AJ22" s="5">
        <f>Inputs!$B$54/12*(Inputs!$B$43/Inputs!$B$42)</f>
        <v>4000</v>
      </c>
      <c r="AK22" s="5">
        <f>Inputs!$B$54/12*(Inputs!$B$43/Inputs!$B$42)</f>
        <v>4000</v>
      </c>
    </row>
    <row r="23" spans="1:37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x14ac:dyDescent="0.25">
      <c r="A24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x14ac:dyDescent="0.25">
      <c r="A25" t="s">
        <v>22</v>
      </c>
      <c r="B25" s="5">
        <f>Inputs!$B$45*Inputs!$B$43</f>
        <v>12000</v>
      </c>
      <c r="C25" s="5">
        <f>Inputs!$B$45*Inputs!$B$43</f>
        <v>12000</v>
      </c>
      <c r="D25" s="5">
        <f>Inputs!$B$45*Inputs!$B$43</f>
        <v>12000</v>
      </c>
      <c r="E25" s="5">
        <f>Inputs!$B$45*Inputs!$B$43</f>
        <v>12000</v>
      </c>
      <c r="F25" s="5">
        <f>Inputs!$B$45*Inputs!$B$43</f>
        <v>12000</v>
      </c>
      <c r="G25" s="5">
        <f>Inputs!$B$45*Inputs!$B$43</f>
        <v>12000</v>
      </c>
      <c r="H25" s="5">
        <f>Inputs!$B$45*Inputs!$B$43</f>
        <v>12000</v>
      </c>
      <c r="I25" s="5">
        <f>Inputs!$B$45*Inputs!$B$43</f>
        <v>12000</v>
      </c>
      <c r="J25" s="5">
        <f>Inputs!$B$45*Inputs!$B$43</f>
        <v>12000</v>
      </c>
      <c r="K25" s="5">
        <f>Inputs!$B$45*Inputs!$B$43</f>
        <v>12000</v>
      </c>
      <c r="L25" s="5">
        <f>Inputs!$B$45*Inputs!$B$43</f>
        <v>12000</v>
      </c>
      <c r="M25" s="5">
        <f>Inputs!$B$45*Inputs!$B$43</f>
        <v>12000</v>
      </c>
      <c r="N25" s="5">
        <f>Inputs!$B$45*Inputs!$B$43</f>
        <v>12000</v>
      </c>
      <c r="O25" s="5">
        <f>Inputs!$B$45*Inputs!$B$43</f>
        <v>12000</v>
      </c>
      <c r="P25" s="5">
        <f>Inputs!$B$45*Inputs!$B$43</f>
        <v>12000</v>
      </c>
      <c r="Q25" s="5">
        <f>Inputs!$B$45*Inputs!$B$43</f>
        <v>12000</v>
      </c>
      <c r="R25" s="5">
        <f>Inputs!$B$45*Inputs!$B$43</f>
        <v>12000</v>
      </c>
      <c r="S25" s="5">
        <f>Inputs!$B$45*Inputs!$B$43</f>
        <v>12000</v>
      </c>
      <c r="T25" s="5">
        <f>Inputs!$B$45*Inputs!$B$43</f>
        <v>12000</v>
      </c>
      <c r="U25" s="5">
        <f>Inputs!$B$45*Inputs!$B$43</f>
        <v>12000</v>
      </c>
      <c r="V25" s="5">
        <f>Inputs!$B$45*Inputs!$B$43</f>
        <v>12000</v>
      </c>
      <c r="W25" s="5">
        <f>Inputs!$B$45*Inputs!$B$43</f>
        <v>12000</v>
      </c>
      <c r="X25" s="5">
        <f>Inputs!$B$45*Inputs!$B$43</f>
        <v>12000</v>
      </c>
      <c r="Y25" s="5">
        <f>Inputs!$B$45*Inputs!$B$43</f>
        <v>12000</v>
      </c>
      <c r="Z25" s="5">
        <f>Inputs!$B$45*Inputs!$B$43</f>
        <v>12000</v>
      </c>
      <c r="AA25" s="5">
        <f>Inputs!$B$45*Inputs!$B$43</f>
        <v>12000</v>
      </c>
      <c r="AB25" s="5">
        <f>Inputs!$B$45*Inputs!$B$43</f>
        <v>12000</v>
      </c>
      <c r="AC25" s="5">
        <f>Inputs!$B$45*Inputs!$B$43</f>
        <v>12000</v>
      </c>
      <c r="AD25" s="5">
        <f>Inputs!$B$45*Inputs!$B$43</f>
        <v>12000</v>
      </c>
      <c r="AE25" s="5">
        <f>Inputs!$B$45*Inputs!$B$43</f>
        <v>12000</v>
      </c>
      <c r="AF25" s="5">
        <f>Inputs!$B$45*Inputs!$B$43</f>
        <v>12000</v>
      </c>
      <c r="AG25" s="5">
        <f>Inputs!$B$45*Inputs!$B$43</f>
        <v>12000</v>
      </c>
      <c r="AH25" s="5">
        <f>Inputs!$B$45*Inputs!$B$43</f>
        <v>12000</v>
      </c>
      <c r="AI25" s="5">
        <f>Inputs!$B$45*Inputs!$B$43</f>
        <v>12000</v>
      </c>
      <c r="AJ25" s="5">
        <f>Inputs!$B$45*Inputs!$B$43</f>
        <v>12000</v>
      </c>
      <c r="AK25" s="5">
        <f>Inputs!$B$45*Inputs!$B$43</f>
        <v>12000</v>
      </c>
    </row>
    <row r="26" spans="1:37" x14ac:dyDescent="0.25">
      <c r="A26" t="s">
        <v>13</v>
      </c>
      <c r="B26" s="5">
        <f>Inputs!$B$46*(Inputs!$B$43)</f>
        <v>736.66666666666674</v>
      </c>
      <c r="C26" s="5">
        <f>Inputs!$B$46*(Inputs!$B$43)</f>
        <v>736.66666666666674</v>
      </c>
      <c r="D26" s="5">
        <f>Inputs!$B$46*(Inputs!$B$43)</f>
        <v>736.66666666666674</v>
      </c>
      <c r="E26" s="5">
        <f>Inputs!$B$46*(Inputs!$B$43)</f>
        <v>736.66666666666674</v>
      </c>
      <c r="F26" s="5">
        <f>Inputs!$B$46*(Inputs!$B$43)</f>
        <v>736.66666666666674</v>
      </c>
      <c r="G26" s="5">
        <f>Inputs!$B$46*(Inputs!$B$43)</f>
        <v>736.66666666666674</v>
      </c>
      <c r="H26" s="5">
        <f>Inputs!$B$46*(Inputs!$B$43)</f>
        <v>736.66666666666674</v>
      </c>
      <c r="I26" s="5">
        <f>Inputs!$B$46*(Inputs!$B$43)</f>
        <v>736.66666666666674</v>
      </c>
      <c r="J26" s="5">
        <f>Inputs!$B$46*(Inputs!$B$43)</f>
        <v>736.66666666666674</v>
      </c>
      <c r="K26" s="5">
        <f>Inputs!$B$46*(Inputs!$B$43)</f>
        <v>736.66666666666674</v>
      </c>
      <c r="L26" s="5">
        <f>Inputs!$B$46*(Inputs!$B$43)</f>
        <v>736.66666666666674</v>
      </c>
      <c r="M26" s="5">
        <f>Inputs!$B$46*(Inputs!$B$43)</f>
        <v>736.66666666666674</v>
      </c>
      <c r="N26" s="5">
        <f>Inputs!$B$46*(Inputs!$B$43)</f>
        <v>736.66666666666674</v>
      </c>
      <c r="O26" s="5">
        <f>Inputs!$B$46*(Inputs!$B$43)</f>
        <v>736.66666666666674</v>
      </c>
      <c r="P26" s="5">
        <f>Inputs!$B$46*(Inputs!$B$43)</f>
        <v>736.66666666666674</v>
      </c>
      <c r="Q26" s="5">
        <f>Inputs!$B$46*(Inputs!$B$43)</f>
        <v>736.66666666666674</v>
      </c>
      <c r="R26" s="5">
        <f>Inputs!$B$46*(Inputs!$B$43)</f>
        <v>736.66666666666674</v>
      </c>
      <c r="S26" s="5">
        <f>Inputs!$B$46*(Inputs!$B$43)</f>
        <v>736.66666666666674</v>
      </c>
      <c r="T26" s="5">
        <f>Inputs!$B$46*(Inputs!$B$43)</f>
        <v>736.66666666666674</v>
      </c>
      <c r="U26" s="5">
        <f>Inputs!$B$46*(Inputs!$B$43)</f>
        <v>736.66666666666674</v>
      </c>
      <c r="V26" s="5">
        <f>Inputs!$B$46*(Inputs!$B$43)</f>
        <v>736.66666666666674</v>
      </c>
      <c r="W26" s="5">
        <f>Inputs!$B$46*(Inputs!$B$43)</f>
        <v>736.66666666666674</v>
      </c>
      <c r="X26" s="5">
        <f>Inputs!$B$46*(Inputs!$B$43)</f>
        <v>736.66666666666674</v>
      </c>
      <c r="Y26" s="5">
        <f>Inputs!$B$46*(Inputs!$B$43)</f>
        <v>736.66666666666674</v>
      </c>
      <c r="Z26" s="5">
        <f>Inputs!$B$46*(Inputs!$B$43)</f>
        <v>736.66666666666674</v>
      </c>
      <c r="AA26" s="5">
        <f>Inputs!$B$46*(Inputs!$B$43)</f>
        <v>736.66666666666674</v>
      </c>
      <c r="AB26" s="5">
        <f>Inputs!$B$46*(Inputs!$B$43)</f>
        <v>736.66666666666674</v>
      </c>
      <c r="AC26" s="5">
        <f>Inputs!$B$46*(Inputs!$B$43)</f>
        <v>736.66666666666674</v>
      </c>
      <c r="AD26" s="5">
        <f>Inputs!$B$46*(Inputs!$B$43)</f>
        <v>736.66666666666674</v>
      </c>
      <c r="AE26" s="5">
        <f>Inputs!$B$46*(Inputs!$B$43)</f>
        <v>736.66666666666674</v>
      </c>
      <c r="AF26" s="5">
        <f>Inputs!$B$46*(Inputs!$B$43)</f>
        <v>736.66666666666674</v>
      </c>
      <c r="AG26" s="5">
        <f>Inputs!$B$46*(Inputs!$B$43)</f>
        <v>736.66666666666674</v>
      </c>
      <c r="AH26" s="5">
        <f>Inputs!$B$46*(Inputs!$B$43)</f>
        <v>736.66666666666674</v>
      </c>
      <c r="AI26" s="5">
        <f>Inputs!$B$46*(Inputs!$B$43)</f>
        <v>736.66666666666674</v>
      </c>
      <c r="AJ26" s="5">
        <f>Inputs!$B$46*(Inputs!$B$43)</f>
        <v>736.66666666666674</v>
      </c>
      <c r="AK26" s="5">
        <f>Inputs!$B$46*(Inputs!$B$43)</f>
        <v>736.66666666666674</v>
      </c>
    </row>
    <row r="27" spans="1:37" x14ac:dyDescent="0.25">
      <c r="A27" t="s">
        <v>14</v>
      </c>
      <c r="B27" s="5">
        <f>Inputs!$B$47/2</f>
        <v>202.8</v>
      </c>
      <c r="C27" s="5">
        <f>Inputs!$B$47/2</f>
        <v>202.8</v>
      </c>
      <c r="D27" s="5">
        <f>Inputs!$B$47/2</f>
        <v>202.8</v>
      </c>
      <c r="E27" s="5">
        <f>Inputs!$B$47/2</f>
        <v>202.8</v>
      </c>
      <c r="F27" s="5">
        <f>Inputs!$B$47/2</f>
        <v>202.8</v>
      </c>
      <c r="G27" s="5">
        <f>Inputs!$B$47/2</f>
        <v>202.8</v>
      </c>
      <c r="H27" s="5">
        <f>Inputs!$B$47/2</f>
        <v>202.8</v>
      </c>
      <c r="I27" s="5">
        <f>Inputs!$B$47/2</f>
        <v>202.8</v>
      </c>
      <c r="J27" s="5">
        <f>Inputs!$B$47/2</f>
        <v>202.8</v>
      </c>
      <c r="K27" s="5">
        <f>Inputs!$B$47/2</f>
        <v>202.8</v>
      </c>
      <c r="L27" s="5">
        <f>Inputs!$B$47/2</f>
        <v>202.8</v>
      </c>
      <c r="M27" s="5">
        <f>Inputs!$B$47/2</f>
        <v>202.8</v>
      </c>
      <c r="N27" s="5">
        <f>Inputs!$B$47/2</f>
        <v>202.8</v>
      </c>
      <c r="O27" s="5">
        <f>Inputs!$B$47/2</f>
        <v>202.8</v>
      </c>
      <c r="P27" s="5">
        <f>Inputs!$B$47/2</f>
        <v>202.8</v>
      </c>
      <c r="Q27" s="5">
        <f>Inputs!$B$47/2</f>
        <v>202.8</v>
      </c>
      <c r="R27" s="5">
        <f>Inputs!$B$47/2</f>
        <v>202.8</v>
      </c>
      <c r="S27" s="5">
        <f>Inputs!$B$47/2</f>
        <v>202.8</v>
      </c>
      <c r="T27" s="5">
        <f>Inputs!$B$47/2</f>
        <v>202.8</v>
      </c>
      <c r="U27" s="5">
        <f>Inputs!$B$47/2</f>
        <v>202.8</v>
      </c>
      <c r="V27" s="5">
        <f>Inputs!$B$47/2</f>
        <v>202.8</v>
      </c>
      <c r="W27" s="5">
        <f>Inputs!$B$47/2</f>
        <v>202.8</v>
      </c>
      <c r="X27" s="5">
        <f>Inputs!$B$47/2</f>
        <v>202.8</v>
      </c>
      <c r="Y27" s="5">
        <f>Inputs!$B$47/2</f>
        <v>202.8</v>
      </c>
      <c r="Z27" s="5">
        <f>Inputs!$B$47/2</f>
        <v>202.8</v>
      </c>
      <c r="AA27" s="5">
        <f>Inputs!$B$47/2</f>
        <v>202.8</v>
      </c>
      <c r="AB27" s="5">
        <f>Inputs!$B$47/2</f>
        <v>202.8</v>
      </c>
      <c r="AC27" s="5">
        <f>Inputs!$B$47/2</f>
        <v>202.8</v>
      </c>
      <c r="AD27" s="5">
        <f>Inputs!$B$47/2</f>
        <v>202.8</v>
      </c>
      <c r="AE27" s="5">
        <f>Inputs!$B$47/2</f>
        <v>202.8</v>
      </c>
      <c r="AF27" s="5">
        <f>Inputs!$B$47/2</f>
        <v>202.8</v>
      </c>
      <c r="AG27" s="5">
        <f>Inputs!$B$47/2</f>
        <v>202.8</v>
      </c>
      <c r="AH27" s="5">
        <f>Inputs!$B$47/2</f>
        <v>202.8</v>
      </c>
      <c r="AI27" s="5">
        <f>Inputs!$B$47/2</f>
        <v>202.8</v>
      </c>
      <c r="AJ27" s="5">
        <f>Inputs!$B$47/2</f>
        <v>202.8</v>
      </c>
      <c r="AK27" s="5">
        <f>Inputs!$B$47/2</f>
        <v>202.8</v>
      </c>
    </row>
    <row r="28" spans="1:37" x14ac:dyDescent="0.25">
      <c r="A28" t="s">
        <v>60</v>
      </c>
      <c r="B28" s="5"/>
      <c r="C28" s="5"/>
      <c r="D28" s="5"/>
      <c r="E28" s="5"/>
      <c r="F28" s="5">
        <f>Inputs!$B$19</f>
        <v>500</v>
      </c>
      <c r="G28" s="5">
        <f>Inputs!$B$19</f>
        <v>500</v>
      </c>
      <c r="H28" s="5">
        <f>Inputs!$B$19</f>
        <v>500</v>
      </c>
      <c r="I28" s="5">
        <f>Inputs!$B$19</f>
        <v>500</v>
      </c>
      <c r="J28" s="5">
        <f>Inputs!$B$19</f>
        <v>500</v>
      </c>
      <c r="K28" s="5">
        <f>Inputs!$B$19</f>
        <v>500</v>
      </c>
      <c r="L28" s="5">
        <f>Inputs!$B$19</f>
        <v>500</v>
      </c>
      <c r="M28" s="5">
        <f>Inputs!$B$19</f>
        <v>500</v>
      </c>
      <c r="N28" s="5">
        <f>Inputs!$B$19</f>
        <v>500</v>
      </c>
      <c r="O28" s="5">
        <f>Inputs!$B$19</f>
        <v>500</v>
      </c>
      <c r="P28" s="5">
        <f>Inputs!$B$19</f>
        <v>500</v>
      </c>
      <c r="Q28" s="5">
        <f>Inputs!$B$19</f>
        <v>500</v>
      </c>
      <c r="R28" s="5">
        <f>Inputs!$B$19</f>
        <v>500</v>
      </c>
      <c r="S28" s="5">
        <f>Inputs!$B$19</f>
        <v>500</v>
      </c>
      <c r="T28" s="5">
        <f>Inputs!$B$19</f>
        <v>500</v>
      </c>
      <c r="U28" s="5">
        <f>Inputs!$B$19</f>
        <v>500</v>
      </c>
      <c r="V28" s="5">
        <f>Inputs!$B$19</f>
        <v>500</v>
      </c>
      <c r="W28" s="5">
        <f>Inputs!$B$19</f>
        <v>500</v>
      </c>
      <c r="X28" s="5">
        <f>Inputs!$B$19</f>
        <v>500</v>
      </c>
      <c r="Y28" s="5">
        <f>Inputs!$B$19</f>
        <v>500</v>
      </c>
      <c r="Z28" s="5">
        <f>Inputs!$B$19</f>
        <v>500</v>
      </c>
      <c r="AA28" s="5">
        <f>Inputs!$B$19</f>
        <v>500</v>
      </c>
      <c r="AB28" s="5">
        <f>Inputs!$B$19</f>
        <v>500</v>
      </c>
      <c r="AC28" s="5">
        <f>Inputs!$B$19</f>
        <v>500</v>
      </c>
      <c r="AD28" s="5">
        <f>Inputs!$B$19</f>
        <v>500</v>
      </c>
      <c r="AE28" s="5">
        <f>Inputs!$B$19</f>
        <v>500</v>
      </c>
      <c r="AF28" s="5">
        <f>Inputs!$B$19</f>
        <v>500</v>
      </c>
      <c r="AG28" s="5">
        <f>Inputs!$B$19</f>
        <v>500</v>
      </c>
      <c r="AH28" s="5">
        <f>Inputs!$B$19</f>
        <v>500</v>
      </c>
      <c r="AI28" s="5">
        <f>Inputs!$B$19</f>
        <v>500</v>
      </c>
      <c r="AJ28" s="5">
        <f>Inputs!$B$19</f>
        <v>500</v>
      </c>
      <c r="AK28" s="5">
        <f>Inputs!$B$19</f>
        <v>500</v>
      </c>
    </row>
    <row r="29" spans="1:37" x14ac:dyDescent="0.25">
      <c r="A29" t="s">
        <v>15</v>
      </c>
      <c r="B29" s="5"/>
      <c r="C29" s="5"/>
      <c r="D29" s="5"/>
      <c r="E29" s="5"/>
      <c r="F29" s="5">
        <f>Inputs!$B$52*Inputs!$B$43</f>
        <v>400</v>
      </c>
      <c r="G29" s="5">
        <f>Inputs!$B$52*Inputs!$B$43</f>
        <v>400</v>
      </c>
      <c r="H29" s="5">
        <f>Inputs!$B$52*Inputs!$B$43</f>
        <v>400</v>
      </c>
      <c r="I29" s="5">
        <f>Inputs!$B$52*Inputs!$B$43</f>
        <v>400</v>
      </c>
      <c r="J29" s="5">
        <f>Inputs!$B$52*Inputs!$B$43</f>
        <v>400</v>
      </c>
      <c r="K29" s="5">
        <f>Inputs!$B$52*Inputs!$B$43</f>
        <v>400</v>
      </c>
      <c r="L29" s="5">
        <f>Inputs!$B$52*Inputs!$B$43</f>
        <v>400</v>
      </c>
      <c r="M29" s="5">
        <f>Inputs!$B$52*Inputs!$B$43</f>
        <v>400</v>
      </c>
      <c r="N29" s="5">
        <f>Inputs!$B$52*Inputs!$B$43</f>
        <v>400</v>
      </c>
      <c r="O29" s="5">
        <f>Inputs!$B$52*Inputs!$B$43</f>
        <v>400</v>
      </c>
      <c r="P29" s="5">
        <f>Inputs!$B$52*Inputs!$B$43</f>
        <v>400</v>
      </c>
      <c r="Q29" s="5">
        <f>Inputs!$B$52*Inputs!$B$43</f>
        <v>400</v>
      </c>
      <c r="R29" s="5">
        <f>Inputs!$B$52*Inputs!$B$43</f>
        <v>400</v>
      </c>
      <c r="S29" s="5">
        <f>Inputs!$B$52*Inputs!$B$43</f>
        <v>400</v>
      </c>
      <c r="T29" s="5">
        <f>Inputs!$B$52*Inputs!$B$43</f>
        <v>400</v>
      </c>
      <c r="U29" s="5">
        <f>Inputs!$B$52*Inputs!$B$43</f>
        <v>400</v>
      </c>
      <c r="V29" s="5">
        <f>Inputs!$B$52*Inputs!$B$43</f>
        <v>400</v>
      </c>
      <c r="W29" s="5">
        <f>Inputs!$B$52*Inputs!$B$43</f>
        <v>400</v>
      </c>
      <c r="X29" s="5">
        <f>Inputs!$B$52*Inputs!$B$43</f>
        <v>400</v>
      </c>
      <c r="Y29" s="5">
        <f>Inputs!$B$52*Inputs!$B$43</f>
        <v>400</v>
      </c>
      <c r="Z29" s="5">
        <f>Inputs!$B$52*Inputs!$B$43</f>
        <v>400</v>
      </c>
      <c r="AA29" s="5">
        <f>Inputs!$B$52*Inputs!$B$43</f>
        <v>400</v>
      </c>
      <c r="AB29" s="5">
        <f>Inputs!$B$52*Inputs!$B$43</f>
        <v>400</v>
      </c>
      <c r="AC29" s="5">
        <f>Inputs!$B$52*Inputs!$B$43</f>
        <v>400</v>
      </c>
      <c r="AD29" s="5">
        <f>Inputs!$B$52*Inputs!$B$43</f>
        <v>400</v>
      </c>
      <c r="AE29" s="5">
        <f>Inputs!$B$52*Inputs!$B$43</f>
        <v>400</v>
      </c>
      <c r="AF29" s="5">
        <f>Inputs!$B$52*Inputs!$B$43</f>
        <v>400</v>
      </c>
      <c r="AG29" s="5">
        <f>Inputs!$B$52*Inputs!$B$43</f>
        <v>400</v>
      </c>
      <c r="AH29" s="5">
        <f>Inputs!$B$52*Inputs!$B$43</f>
        <v>400</v>
      </c>
      <c r="AI29" s="5">
        <f>Inputs!$B$52*Inputs!$B$43</f>
        <v>400</v>
      </c>
      <c r="AJ29" s="5">
        <f>Inputs!$B$52*Inputs!$B$43</f>
        <v>400</v>
      </c>
      <c r="AK29" s="5">
        <f>Inputs!$B$52*Inputs!$B$43</f>
        <v>400</v>
      </c>
    </row>
    <row r="30" spans="1:37" x14ac:dyDescent="0.25">
      <c r="A30" t="s">
        <v>11</v>
      </c>
      <c r="B30" s="5"/>
      <c r="C30" s="5"/>
      <c r="D30" s="5"/>
      <c r="E30" s="5"/>
      <c r="F30" s="5">
        <f>Inputs!$B$20</f>
        <v>1000</v>
      </c>
      <c r="G30" s="5">
        <f>Inputs!$B$20</f>
        <v>1000</v>
      </c>
      <c r="H30" s="5">
        <f>Inputs!$B$20</f>
        <v>1000</v>
      </c>
      <c r="I30" s="5">
        <f>Inputs!$B$20</f>
        <v>1000</v>
      </c>
      <c r="J30" s="5">
        <f>Inputs!$B$20</f>
        <v>1000</v>
      </c>
      <c r="K30" s="5">
        <f>Inputs!$B$20</f>
        <v>1000</v>
      </c>
      <c r="L30" s="5">
        <f>Inputs!$B$20</f>
        <v>1000</v>
      </c>
      <c r="M30" s="5">
        <f>Inputs!$B$20</f>
        <v>1000</v>
      </c>
      <c r="N30" s="5">
        <f>Inputs!$B$20</f>
        <v>1000</v>
      </c>
      <c r="O30" s="5">
        <f>Inputs!$B$20</f>
        <v>1000</v>
      </c>
      <c r="P30" s="5">
        <f>Inputs!$B$20</f>
        <v>1000</v>
      </c>
      <c r="Q30" s="5">
        <f>Inputs!$B$20</f>
        <v>1000</v>
      </c>
      <c r="R30" s="5">
        <f>Inputs!$B$20</f>
        <v>1000</v>
      </c>
      <c r="S30" s="5">
        <f>Inputs!$B$20</f>
        <v>1000</v>
      </c>
      <c r="T30" s="5">
        <f>Inputs!$B$20</f>
        <v>1000</v>
      </c>
      <c r="U30" s="5">
        <f>Inputs!$B$20</f>
        <v>1000</v>
      </c>
      <c r="V30" s="5">
        <f>Inputs!$B$20</f>
        <v>1000</v>
      </c>
      <c r="W30" s="5">
        <f>Inputs!$B$20</f>
        <v>1000</v>
      </c>
      <c r="X30" s="5">
        <f>Inputs!$B$20</f>
        <v>1000</v>
      </c>
      <c r="Y30" s="5">
        <f>Inputs!$B$20</f>
        <v>1000</v>
      </c>
      <c r="Z30" s="5">
        <f>Inputs!$B$20</f>
        <v>1000</v>
      </c>
      <c r="AA30" s="5">
        <f>Inputs!$B$20</f>
        <v>1000</v>
      </c>
      <c r="AB30" s="5">
        <f>Inputs!$B$20</f>
        <v>1000</v>
      </c>
      <c r="AC30" s="5">
        <f>Inputs!$B$20</f>
        <v>1000</v>
      </c>
      <c r="AD30" s="5">
        <f>Inputs!$B$20</f>
        <v>1000</v>
      </c>
      <c r="AE30" s="5">
        <f>Inputs!$B$20</f>
        <v>1000</v>
      </c>
      <c r="AF30" s="5">
        <f>Inputs!$B$20</f>
        <v>1000</v>
      </c>
      <c r="AG30" s="5">
        <f>Inputs!$B$20</f>
        <v>1000</v>
      </c>
      <c r="AH30" s="5">
        <f>Inputs!$B$20</f>
        <v>1000</v>
      </c>
      <c r="AI30" s="5">
        <f>Inputs!$B$20</f>
        <v>1000</v>
      </c>
      <c r="AJ30" s="5">
        <f>Inputs!$B$20</f>
        <v>1000</v>
      </c>
      <c r="AK30" s="5">
        <f>Inputs!$B$20</f>
        <v>1000</v>
      </c>
    </row>
    <row r="31" spans="1:37" x14ac:dyDescent="0.25">
      <c r="A31" t="s">
        <v>12</v>
      </c>
      <c r="B31" s="5"/>
      <c r="C31" s="5"/>
      <c r="D31" s="5"/>
      <c r="E31" s="5"/>
      <c r="F31" s="5">
        <f>Inputs!$B$53*Inputs!$B$43</f>
        <v>1200</v>
      </c>
      <c r="G31" s="5">
        <f>Inputs!$B$53*Inputs!$B$43</f>
        <v>1200</v>
      </c>
      <c r="H31" s="5">
        <f>Inputs!$B$53*Inputs!$B$43</f>
        <v>1200</v>
      </c>
      <c r="I31" s="5">
        <f>Inputs!$B$53*Inputs!$B$43</f>
        <v>1200</v>
      </c>
      <c r="J31" s="5">
        <f>Inputs!$B$53*Inputs!$B$43</f>
        <v>1200</v>
      </c>
      <c r="K31" s="5">
        <f>Inputs!$B$53*Inputs!$B$43</f>
        <v>1200</v>
      </c>
      <c r="L31" s="5">
        <f>Inputs!$B$53*Inputs!$B$43</f>
        <v>1200</v>
      </c>
      <c r="M31" s="5">
        <f>Inputs!$B$53*Inputs!$B$43</f>
        <v>1200</v>
      </c>
      <c r="N31" s="5">
        <f>Inputs!$B$53*Inputs!$B$43</f>
        <v>1200</v>
      </c>
      <c r="O31" s="5">
        <f>Inputs!$B$53*Inputs!$B$43</f>
        <v>1200</v>
      </c>
      <c r="P31" s="5">
        <f>Inputs!$B$53*Inputs!$B$43</f>
        <v>1200</v>
      </c>
      <c r="Q31" s="5">
        <f>Inputs!$B$53*Inputs!$B$43</f>
        <v>1200</v>
      </c>
      <c r="R31" s="5">
        <f>Inputs!$B$53*Inputs!$B$43</f>
        <v>1200</v>
      </c>
      <c r="S31" s="5">
        <f>Inputs!$B$53*Inputs!$B$43</f>
        <v>1200</v>
      </c>
      <c r="T31" s="5">
        <f>Inputs!$B$53*Inputs!$B$43</f>
        <v>1200</v>
      </c>
      <c r="U31" s="5">
        <f>Inputs!$B$53*Inputs!$B$43</f>
        <v>1200</v>
      </c>
      <c r="V31" s="5">
        <f>Inputs!$B$53*Inputs!$B$43</f>
        <v>1200</v>
      </c>
      <c r="W31" s="5">
        <f>Inputs!$B$53*Inputs!$B$43</f>
        <v>1200</v>
      </c>
      <c r="X31" s="5">
        <f>Inputs!$B$53*Inputs!$B$43</f>
        <v>1200</v>
      </c>
      <c r="Y31" s="5">
        <f>Inputs!$B$53*Inputs!$B$43</f>
        <v>1200</v>
      </c>
      <c r="Z31" s="5">
        <f>Inputs!$B$53*Inputs!$B$43</f>
        <v>1200</v>
      </c>
      <c r="AA31" s="5">
        <f>Inputs!$B$53*Inputs!$B$43</f>
        <v>1200</v>
      </c>
      <c r="AB31" s="5">
        <f>Inputs!$B$53*Inputs!$B$43</f>
        <v>1200</v>
      </c>
      <c r="AC31" s="5">
        <f>Inputs!$B$53*Inputs!$B$43</f>
        <v>1200</v>
      </c>
      <c r="AD31" s="5">
        <f>Inputs!$B$53*Inputs!$B$43</f>
        <v>1200</v>
      </c>
      <c r="AE31" s="5">
        <f>Inputs!$B$53*Inputs!$B$43</f>
        <v>1200</v>
      </c>
      <c r="AF31" s="5">
        <f>Inputs!$B$53*Inputs!$B$43</f>
        <v>1200</v>
      </c>
      <c r="AG31" s="5">
        <f>Inputs!$B$53*Inputs!$B$43</f>
        <v>1200</v>
      </c>
      <c r="AH31" s="5">
        <f>Inputs!$B$53*Inputs!$B$43</f>
        <v>1200</v>
      </c>
      <c r="AI31" s="5">
        <f>Inputs!$B$53*Inputs!$B$43</f>
        <v>1200</v>
      </c>
      <c r="AJ31" s="5">
        <f>Inputs!$B$53*Inputs!$B$43</f>
        <v>1200</v>
      </c>
      <c r="AK31" s="5">
        <f>Inputs!$B$53*Inputs!$B$43</f>
        <v>1200</v>
      </c>
    </row>
    <row r="32" spans="1:37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x14ac:dyDescent="0.25">
      <c r="A33" t="s">
        <v>34</v>
      </c>
      <c r="B33" s="5">
        <f>Inputs!$B$21</f>
        <v>500</v>
      </c>
      <c r="C33" s="5">
        <f>Inputs!$B$21</f>
        <v>500</v>
      </c>
      <c r="D33" s="5">
        <f>Inputs!$B$21</f>
        <v>500</v>
      </c>
      <c r="E33" s="5">
        <f>Inputs!$B$21</f>
        <v>500</v>
      </c>
      <c r="F33" s="5">
        <f>Inputs!$B$21</f>
        <v>500</v>
      </c>
      <c r="G33" s="5">
        <f>Inputs!$B$21</f>
        <v>500</v>
      </c>
      <c r="H33" s="5">
        <f>Inputs!$B$21</f>
        <v>500</v>
      </c>
      <c r="I33" s="5">
        <f>Inputs!$B$21</f>
        <v>500</v>
      </c>
      <c r="J33" s="5">
        <f>Inputs!$B$21</f>
        <v>500</v>
      </c>
      <c r="K33" s="5">
        <f>Inputs!$B$21</f>
        <v>500</v>
      </c>
      <c r="L33" s="5">
        <f>Inputs!$B$21</f>
        <v>500</v>
      </c>
      <c r="M33" s="5">
        <f>Inputs!$B$21</f>
        <v>500</v>
      </c>
      <c r="N33" s="5">
        <f>Inputs!$B$21</f>
        <v>500</v>
      </c>
      <c r="O33" s="5">
        <f>Inputs!$B$21</f>
        <v>500</v>
      </c>
      <c r="P33" s="5">
        <f>Inputs!$B$21</f>
        <v>500</v>
      </c>
      <c r="Q33" s="5">
        <f>Inputs!$B$21</f>
        <v>500</v>
      </c>
      <c r="R33" s="5">
        <f>Inputs!$B$21</f>
        <v>500</v>
      </c>
      <c r="S33" s="5">
        <f>Inputs!$B$21</f>
        <v>500</v>
      </c>
      <c r="T33" s="5">
        <f>Inputs!$B$21</f>
        <v>500</v>
      </c>
      <c r="U33" s="5">
        <f>Inputs!$B$21</f>
        <v>500</v>
      </c>
      <c r="V33" s="5">
        <f>Inputs!$B$21</f>
        <v>500</v>
      </c>
      <c r="W33" s="5">
        <f>Inputs!$B$21</f>
        <v>500</v>
      </c>
      <c r="X33" s="5">
        <f>Inputs!$B$21</f>
        <v>500</v>
      </c>
      <c r="Y33" s="5">
        <f>Inputs!$B$21</f>
        <v>500</v>
      </c>
      <c r="Z33" s="5">
        <f>Inputs!$B$21</f>
        <v>500</v>
      </c>
      <c r="AA33" s="5">
        <f>Inputs!$B$21</f>
        <v>500</v>
      </c>
      <c r="AB33" s="5">
        <f>Inputs!$B$21</f>
        <v>500</v>
      </c>
      <c r="AC33" s="5">
        <f>Inputs!$B$21</f>
        <v>500</v>
      </c>
      <c r="AD33" s="5">
        <f>Inputs!$B$21</f>
        <v>500</v>
      </c>
      <c r="AE33" s="5">
        <f>Inputs!$B$21</f>
        <v>500</v>
      </c>
      <c r="AF33" s="5">
        <f>Inputs!$B$21</f>
        <v>500</v>
      </c>
      <c r="AG33" s="5">
        <f>Inputs!$B$21</f>
        <v>500</v>
      </c>
      <c r="AH33" s="5">
        <f>Inputs!$B$21</f>
        <v>500</v>
      </c>
      <c r="AI33" s="5">
        <f>Inputs!$B$21</f>
        <v>500</v>
      </c>
      <c r="AJ33" s="5">
        <f>Inputs!$B$21</f>
        <v>500</v>
      </c>
      <c r="AK33" s="5">
        <f>Inputs!$B$21</f>
        <v>500</v>
      </c>
    </row>
    <row r="34" spans="1:37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x14ac:dyDescent="0.25">
      <c r="A36" t="s">
        <v>17</v>
      </c>
      <c r="B36" s="5">
        <f>SUM(B25:B31,B21:B22,B13:B18,B33)</f>
        <v>27439.466666666667</v>
      </c>
      <c r="C36" s="5">
        <f t="shared" ref="C36:Y36" si="0">SUM(C25:C31,C21:C22,C13:C18,C33)</f>
        <v>27439.466666666667</v>
      </c>
      <c r="D36" s="5">
        <f t="shared" si="0"/>
        <v>117439.46666666667</v>
      </c>
      <c r="E36" s="5">
        <f t="shared" si="0"/>
        <v>207439.46666666667</v>
      </c>
      <c r="F36" s="5">
        <f t="shared" si="0"/>
        <v>26529.866666666665</v>
      </c>
      <c r="G36" s="5">
        <f t="shared" si="0"/>
        <v>26529.866666666665</v>
      </c>
      <c r="H36" s="5">
        <f t="shared" si="0"/>
        <v>26529.866666666665</v>
      </c>
      <c r="I36" s="5">
        <f t="shared" si="0"/>
        <v>26529.866666666665</v>
      </c>
      <c r="J36" s="5">
        <f t="shared" si="0"/>
        <v>26529.866666666665</v>
      </c>
      <c r="K36" s="5">
        <f t="shared" si="0"/>
        <v>26529.866666666665</v>
      </c>
      <c r="L36" s="5">
        <f t="shared" si="0"/>
        <v>26529.866666666665</v>
      </c>
      <c r="M36" s="5">
        <f t="shared" si="0"/>
        <v>26529.866666666665</v>
      </c>
      <c r="N36" s="5">
        <f t="shared" si="0"/>
        <v>26529.866666666665</v>
      </c>
      <c r="O36" s="5">
        <f t="shared" si="0"/>
        <v>26529.866666666665</v>
      </c>
      <c r="P36" s="5">
        <f t="shared" si="0"/>
        <v>26529.866666666665</v>
      </c>
      <c r="Q36" s="5">
        <f t="shared" si="0"/>
        <v>26529.866666666665</v>
      </c>
      <c r="R36" s="5">
        <f t="shared" si="0"/>
        <v>26529.866666666665</v>
      </c>
      <c r="S36" s="5">
        <f t="shared" si="0"/>
        <v>26529.866666666665</v>
      </c>
      <c r="T36" s="5">
        <f t="shared" si="0"/>
        <v>26529.866666666665</v>
      </c>
      <c r="U36" s="5">
        <f t="shared" si="0"/>
        <v>26529.866666666665</v>
      </c>
      <c r="V36" s="5">
        <f t="shared" si="0"/>
        <v>26529.866666666665</v>
      </c>
      <c r="W36" s="5">
        <f t="shared" si="0"/>
        <v>26529.866666666665</v>
      </c>
      <c r="X36" s="5">
        <f t="shared" si="0"/>
        <v>26529.866666666665</v>
      </c>
      <c r="Y36" s="5">
        <f t="shared" si="0"/>
        <v>26529.866666666665</v>
      </c>
      <c r="Z36" s="5">
        <f t="shared" ref="Z36:AK36" si="1">SUM(Z25:Z31,Z21:Z22,Z13:Z18,Z33)</f>
        <v>26529.866666666665</v>
      </c>
      <c r="AA36" s="5">
        <f t="shared" si="1"/>
        <v>26529.866666666665</v>
      </c>
      <c r="AB36" s="5">
        <f t="shared" si="1"/>
        <v>26529.866666666665</v>
      </c>
      <c r="AC36" s="5">
        <f t="shared" si="1"/>
        <v>26529.866666666665</v>
      </c>
      <c r="AD36" s="5">
        <f t="shared" si="1"/>
        <v>26529.866666666665</v>
      </c>
      <c r="AE36" s="5">
        <f t="shared" si="1"/>
        <v>26529.866666666665</v>
      </c>
      <c r="AF36" s="5">
        <f t="shared" si="1"/>
        <v>26529.866666666665</v>
      </c>
      <c r="AG36" s="5">
        <f t="shared" si="1"/>
        <v>26529.866666666665</v>
      </c>
      <c r="AH36" s="5">
        <f t="shared" si="1"/>
        <v>26529.866666666665</v>
      </c>
      <c r="AI36" s="5">
        <f t="shared" si="1"/>
        <v>26529.866666666665</v>
      </c>
      <c r="AJ36" s="5">
        <f t="shared" si="1"/>
        <v>26529.866666666665</v>
      </c>
      <c r="AK36" s="5">
        <f t="shared" si="1"/>
        <v>26529.866666666665</v>
      </c>
    </row>
    <row r="37" spans="1:37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x14ac:dyDescent="0.25">
      <c r="A38" t="s">
        <v>157</v>
      </c>
      <c r="B38" s="5">
        <f t="shared" ref="B38:Y38" si="2">B6-B36</f>
        <v>-27439.466666666667</v>
      </c>
      <c r="C38" s="5">
        <f t="shared" si="2"/>
        <v>-27439.466666666667</v>
      </c>
      <c r="D38" s="5">
        <f t="shared" si="2"/>
        <v>-117439.46666666667</v>
      </c>
      <c r="E38" s="5">
        <f t="shared" si="2"/>
        <v>-207439.46666666667</v>
      </c>
      <c r="F38" s="5">
        <f t="shared" si="2"/>
        <v>10130.133333333335</v>
      </c>
      <c r="G38" s="5">
        <f t="shared" si="2"/>
        <v>32126.133333333335</v>
      </c>
      <c r="H38" s="5">
        <f t="shared" si="2"/>
        <v>54122.133333333331</v>
      </c>
      <c r="I38" s="5">
        <f t="shared" si="2"/>
        <v>76118.133333333331</v>
      </c>
      <c r="J38" s="5">
        <f t="shared" si="2"/>
        <v>90782.133333333331</v>
      </c>
      <c r="K38" s="5">
        <f t="shared" si="2"/>
        <v>90782.133333333331</v>
      </c>
      <c r="L38" s="5">
        <f t="shared" si="2"/>
        <v>90782.133333333331</v>
      </c>
      <c r="M38" s="5">
        <f t="shared" si="2"/>
        <v>90782.133333333331</v>
      </c>
      <c r="N38" s="5">
        <f t="shared" si="2"/>
        <v>90782.133333333331</v>
      </c>
      <c r="O38" s="5">
        <f t="shared" si="2"/>
        <v>90782.133333333331</v>
      </c>
      <c r="P38" s="5">
        <f t="shared" si="2"/>
        <v>90782.133333333331</v>
      </c>
      <c r="Q38" s="5">
        <f t="shared" si="2"/>
        <v>90782.133333333331</v>
      </c>
      <c r="R38" s="5">
        <f t="shared" si="2"/>
        <v>90782.133333333331</v>
      </c>
      <c r="S38" s="5">
        <f t="shared" si="2"/>
        <v>90782.133333333331</v>
      </c>
      <c r="T38" s="5">
        <f t="shared" si="2"/>
        <v>90782.133333333331</v>
      </c>
      <c r="U38" s="5">
        <f t="shared" si="2"/>
        <v>90782.133333333331</v>
      </c>
      <c r="V38" s="5">
        <f t="shared" si="2"/>
        <v>90782.133333333331</v>
      </c>
      <c r="W38" s="5">
        <f t="shared" si="2"/>
        <v>90782.133333333331</v>
      </c>
      <c r="X38" s="5">
        <f t="shared" si="2"/>
        <v>90782.133333333331</v>
      </c>
      <c r="Y38" s="5">
        <f t="shared" si="2"/>
        <v>90782.133333333331</v>
      </c>
      <c r="Z38" s="5">
        <f t="shared" ref="Z38:AK38" si="3">Z6-Z36</f>
        <v>90782.133333333331</v>
      </c>
      <c r="AA38" s="5">
        <f t="shared" si="3"/>
        <v>90782.133333333331</v>
      </c>
      <c r="AB38" s="5">
        <f t="shared" si="3"/>
        <v>90782.133333333331</v>
      </c>
      <c r="AC38" s="5">
        <f t="shared" si="3"/>
        <v>90782.133333333331</v>
      </c>
      <c r="AD38" s="5">
        <f t="shared" si="3"/>
        <v>90782.133333333331</v>
      </c>
      <c r="AE38" s="5">
        <f t="shared" si="3"/>
        <v>90782.133333333331</v>
      </c>
      <c r="AF38" s="5">
        <f t="shared" si="3"/>
        <v>90782.133333333331</v>
      </c>
      <c r="AG38" s="5">
        <f t="shared" si="3"/>
        <v>90782.133333333331</v>
      </c>
      <c r="AH38" s="5">
        <f t="shared" si="3"/>
        <v>90782.133333333331</v>
      </c>
      <c r="AI38" s="5">
        <f t="shared" si="3"/>
        <v>90782.133333333331</v>
      </c>
      <c r="AJ38" s="5">
        <f t="shared" si="3"/>
        <v>90782.133333333331</v>
      </c>
      <c r="AK38" s="5">
        <f t="shared" si="3"/>
        <v>90782.133333333331</v>
      </c>
    </row>
    <row r="39" spans="1:37" x14ac:dyDescent="0.25">
      <c r="A39" t="s">
        <v>187</v>
      </c>
      <c r="B39" s="5">
        <f>B38</f>
        <v>-27439.466666666667</v>
      </c>
      <c r="C39" s="5">
        <f>C38+B39</f>
        <v>-54878.933333333334</v>
      </c>
      <c r="D39" s="5">
        <f t="shared" ref="D39:AK39" si="4">D38+C39</f>
        <v>-172318.40000000002</v>
      </c>
      <c r="E39" s="5">
        <f t="shared" si="4"/>
        <v>-379757.8666666667</v>
      </c>
      <c r="F39" s="5">
        <f t="shared" si="4"/>
        <v>-369627.73333333334</v>
      </c>
      <c r="G39" s="5">
        <f t="shared" si="4"/>
        <v>-337501.6</v>
      </c>
      <c r="H39" s="5">
        <f t="shared" si="4"/>
        <v>-283379.46666666667</v>
      </c>
      <c r="I39" s="5">
        <f t="shared" si="4"/>
        <v>-207261.33333333334</v>
      </c>
      <c r="J39" s="5">
        <f t="shared" si="4"/>
        <v>-116479.20000000001</v>
      </c>
      <c r="K39" s="5">
        <f t="shared" si="4"/>
        <v>-25697.06666666668</v>
      </c>
      <c r="L39" s="5">
        <f t="shared" si="4"/>
        <v>65085.066666666651</v>
      </c>
      <c r="M39" s="5">
        <f t="shared" si="4"/>
        <v>155867.19999999998</v>
      </c>
      <c r="N39" s="5">
        <f t="shared" si="4"/>
        <v>246649.33333333331</v>
      </c>
      <c r="O39" s="5">
        <f t="shared" si="4"/>
        <v>337431.46666666667</v>
      </c>
      <c r="P39" s="5">
        <f t="shared" si="4"/>
        <v>428213.6</v>
      </c>
      <c r="Q39" s="5">
        <f t="shared" si="4"/>
        <v>518995.73333333328</v>
      </c>
      <c r="R39" s="5">
        <f t="shared" si="4"/>
        <v>609777.86666666658</v>
      </c>
      <c r="S39" s="5">
        <f t="shared" si="4"/>
        <v>700559.99999999988</v>
      </c>
      <c r="T39" s="5">
        <f t="shared" si="4"/>
        <v>791342.13333333319</v>
      </c>
      <c r="U39" s="5">
        <f t="shared" si="4"/>
        <v>882124.26666666649</v>
      </c>
      <c r="V39" s="5">
        <f t="shared" si="4"/>
        <v>972906.39999999979</v>
      </c>
      <c r="W39" s="5">
        <f t="shared" si="4"/>
        <v>1063688.5333333332</v>
      </c>
      <c r="X39" s="5">
        <f t="shared" si="4"/>
        <v>1154470.6666666665</v>
      </c>
      <c r="Y39" s="5">
        <f t="shared" si="4"/>
        <v>1245252.7999999998</v>
      </c>
      <c r="Z39" s="5">
        <f t="shared" si="4"/>
        <v>1336034.9333333331</v>
      </c>
      <c r="AA39" s="5">
        <f t="shared" si="4"/>
        <v>1426817.0666666664</v>
      </c>
      <c r="AB39" s="5">
        <f t="shared" si="4"/>
        <v>1517599.1999999997</v>
      </c>
      <c r="AC39" s="5">
        <f t="shared" si="4"/>
        <v>1608381.333333333</v>
      </c>
      <c r="AD39" s="5">
        <f t="shared" si="4"/>
        <v>1699163.4666666663</v>
      </c>
      <c r="AE39" s="5">
        <f t="shared" si="4"/>
        <v>1789945.5999999996</v>
      </c>
      <c r="AF39" s="5">
        <f t="shared" si="4"/>
        <v>1880727.7333333329</v>
      </c>
      <c r="AG39" s="5">
        <f t="shared" si="4"/>
        <v>1971509.8666666662</v>
      </c>
      <c r="AH39" s="5">
        <f t="shared" si="4"/>
        <v>2062291.9999999995</v>
      </c>
      <c r="AI39" s="5">
        <f t="shared" si="4"/>
        <v>2153074.1333333328</v>
      </c>
      <c r="AJ39" s="5">
        <f t="shared" si="4"/>
        <v>2243856.2666666661</v>
      </c>
      <c r="AK39" s="5">
        <f t="shared" si="4"/>
        <v>2334638.3999999994</v>
      </c>
    </row>
    <row r="40" spans="1:37" x14ac:dyDescent="0.25">
      <c r="A40" t="s">
        <v>61</v>
      </c>
      <c r="B40" s="5">
        <f>SUM(B38:E38)</f>
        <v>-379757.8666666667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37" x14ac:dyDescent="0.25">
      <c r="A41" t="s">
        <v>62</v>
      </c>
      <c r="B41" t="s">
        <v>140</v>
      </c>
    </row>
    <row r="42" spans="1:37" x14ac:dyDescent="0.25">
      <c r="A42" t="s">
        <v>64</v>
      </c>
      <c r="B42" s="2">
        <f>IRR(B38:AK38)</f>
        <v>0.15837614912227682</v>
      </c>
    </row>
    <row r="43" spans="1:37" x14ac:dyDescent="0.25">
      <c r="B43" s="2"/>
    </row>
    <row r="44" spans="1:37" x14ac:dyDescent="0.25">
      <c r="B44" s="2"/>
    </row>
    <row r="45" spans="1:37" x14ac:dyDescent="0.25">
      <c r="B45" s="2"/>
    </row>
    <row r="46" spans="1:37" x14ac:dyDescent="0.25">
      <c r="B46" s="2"/>
    </row>
    <row r="47" spans="1:37" x14ac:dyDescent="0.25">
      <c r="B47" s="2"/>
    </row>
    <row r="48" spans="1:37" x14ac:dyDescent="0.25">
      <c r="B48" s="2"/>
    </row>
    <row r="49" spans="1:37" x14ac:dyDescent="0.25">
      <c r="B49" s="2"/>
    </row>
    <row r="50" spans="1:37" x14ac:dyDescent="0.25">
      <c r="B50" s="2"/>
    </row>
    <row r="51" spans="1:37" x14ac:dyDescent="0.25">
      <c r="B51" s="2"/>
    </row>
    <row r="52" spans="1:37" x14ac:dyDescent="0.25">
      <c r="B52" s="2"/>
    </row>
    <row r="53" spans="1:37" x14ac:dyDescent="0.25">
      <c r="B53" s="2"/>
    </row>
    <row r="54" spans="1:37" x14ac:dyDescent="0.25">
      <c r="B54" s="2"/>
    </row>
    <row r="58" spans="1:37" x14ac:dyDescent="0.25">
      <c r="A58" s="1" t="s">
        <v>141</v>
      </c>
    </row>
    <row r="59" spans="1:37" x14ac:dyDescent="0.25">
      <c r="A59" s="1"/>
    </row>
    <row r="60" spans="1:37" x14ac:dyDescent="0.25">
      <c r="A60" t="s">
        <v>157</v>
      </c>
      <c r="B60" s="29">
        <f>'Daycare P&amp;L'!B38+'Office P&amp;L'!B38</f>
        <v>-34826.433333333334</v>
      </c>
      <c r="C60" s="29">
        <f>'Daycare P&amp;L'!C38+'Office P&amp;L'!C38</f>
        <v>-34826.433333333334</v>
      </c>
      <c r="D60" s="29">
        <f>'Daycare P&amp;L'!D38+'Office P&amp;L'!D38</f>
        <v>-147326.43333333335</v>
      </c>
      <c r="E60" s="29">
        <f>'Daycare P&amp;L'!E38+'Office P&amp;L'!E38</f>
        <v>-242766.43333333335</v>
      </c>
      <c r="F60" s="29">
        <f>'Daycare P&amp;L'!F38+'Office P&amp;L'!F38</f>
        <v>7424.3666666666722</v>
      </c>
      <c r="G60" s="29">
        <f>'Daycare P&amp;L'!G38+'Office P&amp;L'!G38</f>
        <v>52820.366666666669</v>
      </c>
      <c r="H60" s="29">
        <f>'Daycare P&amp;L'!H38+'Office P&amp;L'!H38</f>
        <v>98216.366666666669</v>
      </c>
      <c r="I60" s="29">
        <f>'Daycare P&amp;L'!I38+'Office P&amp;L'!I38</f>
        <v>143612.36666666667</v>
      </c>
      <c r="J60" s="29">
        <f>'Daycare P&amp;L'!J38+'Office P&amp;L'!J38</f>
        <v>158276.36666666667</v>
      </c>
      <c r="K60" s="29">
        <f>'Daycare P&amp;L'!K38+'Office P&amp;L'!K38</f>
        <v>158276.36666666667</v>
      </c>
      <c r="L60" s="29">
        <f>'Daycare P&amp;L'!L38+'Office P&amp;L'!L38</f>
        <v>158276.36666666667</v>
      </c>
      <c r="M60" s="29">
        <f>'Daycare P&amp;L'!M38+'Office P&amp;L'!M38</f>
        <v>158276.36666666667</v>
      </c>
      <c r="N60" s="29">
        <f>'Daycare P&amp;L'!N38+'Office P&amp;L'!N38</f>
        <v>158056.36666666667</v>
      </c>
      <c r="O60" s="29">
        <f>'Daycare P&amp;L'!O38+'Office P&amp;L'!O38</f>
        <v>158276.36666666667</v>
      </c>
      <c r="P60" s="29">
        <f>'Daycare P&amp;L'!P38+'Office P&amp;L'!P38</f>
        <v>158276.36666666667</v>
      </c>
      <c r="Q60" s="29">
        <f>'Daycare P&amp;L'!Q38+'Office P&amp;L'!Q38</f>
        <v>158276.36666666667</v>
      </c>
      <c r="R60" s="29">
        <f>'Daycare P&amp;L'!R38+'Office P&amp;L'!R38</f>
        <v>158276.36666666667</v>
      </c>
      <c r="S60" s="29">
        <f>'Daycare P&amp;L'!S38+'Office P&amp;L'!S38</f>
        <v>158276.36666666667</v>
      </c>
      <c r="T60" s="29">
        <f>'Daycare P&amp;L'!T38+'Office P&amp;L'!T38</f>
        <v>158276.36666666667</v>
      </c>
      <c r="U60" s="29">
        <f>'Daycare P&amp;L'!U38+'Office P&amp;L'!U38</f>
        <v>158276.36666666667</v>
      </c>
      <c r="V60" s="29">
        <f>'Daycare P&amp;L'!V38+'Office P&amp;L'!V38</f>
        <v>158276.36666666667</v>
      </c>
      <c r="W60" s="29">
        <f>'Daycare P&amp;L'!W38+'Office P&amp;L'!W38</f>
        <v>158276.36666666667</v>
      </c>
      <c r="X60" s="29">
        <f>'Daycare P&amp;L'!X38+'Office P&amp;L'!X38</f>
        <v>158276.36666666667</v>
      </c>
      <c r="Y60" s="29">
        <f>'Daycare P&amp;L'!Y38+'Office P&amp;L'!Y38</f>
        <v>158276.36666666667</v>
      </c>
      <c r="Z60" s="29">
        <f>'Daycare P&amp;L'!Z38+'Office P&amp;L'!Z38</f>
        <v>158056.36666666667</v>
      </c>
      <c r="AA60" s="29">
        <f>'Daycare P&amp;L'!AA38+'Office P&amp;L'!AA38</f>
        <v>158276.36666666667</v>
      </c>
      <c r="AB60" s="29">
        <f>'Daycare P&amp;L'!AB38+'Office P&amp;L'!AB38</f>
        <v>158276.36666666667</v>
      </c>
      <c r="AC60" s="29">
        <f>'Daycare P&amp;L'!AC38+'Office P&amp;L'!AC38</f>
        <v>158276.36666666667</v>
      </c>
      <c r="AD60" s="29">
        <f>'Daycare P&amp;L'!AD38+'Office P&amp;L'!AD38</f>
        <v>158276.36666666667</v>
      </c>
      <c r="AE60" s="29">
        <f>'Daycare P&amp;L'!AE38+'Office P&amp;L'!AE38</f>
        <v>158276.36666666667</v>
      </c>
      <c r="AF60" s="29">
        <f>'Daycare P&amp;L'!AF38+'Office P&amp;L'!AF38</f>
        <v>158276.36666666667</v>
      </c>
      <c r="AG60" s="29">
        <f>'Daycare P&amp;L'!AG38+'Office P&amp;L'!AG38</f>
        <v>158276.36666666667</v>
      </c>
      <c r="AH60" s="29">
        <f>'Daycare P&amp;L'!AH38+'Office P&amp;L'!AH38</f>
        <v>158276.36666666667</v>
      </c>
      <c r="AI60" s="29">
        <f>'Daycare P&amp;L'!AI38+'Office P&amp;L'!AI38</f>
        <v>158276.36666666667</v>
      </c>
      <c r="AJ60" s="29">
        <f>'Daycare P&amp;L'!AJ38+'Office P&amp;L'!AJ38</f>
        <v>158276.36666666667</v>
      </c>
      <c r="AK60" s="29">
        <f>'Daycare P&amp;L'!AK38+'Office P&amp;L'!AK38</f>
        <v>158276.36666666667</v>
      </c>
    </row>
    <row r="61" spans="1:37" x14ac:dyDescent="0.25">
      <c r="A61" t="s">
        <v>187</v>
      </c>
      <c r="B61" s="29">
        <f>B60</f>
        <v>-34826.433333333334</v>
      </c>
      <c r="C61" s="29">
        <f>C60+B61</f>
        <v>-69652.866666666669</v>
      </c>
      <c r="D61" s="29">
        <f t="shared" ref="D61:AK61" si="5">D60+C61</f>
        <v>-216979.30000000002</v>
      </c>
      <c r="E61" s="29">
        <f t="shared" si="5"/>
        <v>-459745.7333333334</v>
      </c>
      <c r="F61" s="29">
        <f t="shared" si="5"/>
        <v>-452321.3666666667</v>
      </c>
      <c r="G61" s="29">
        <f t="shared" si="5"/>
        <v>-399501</v>
      </c>
      <c r="H61" s="29">
        <f t="shared" si="5"/>
        <v>-301284.6333333333</v>
      </c>
      <c r="I61" s="29">
        <f t="shared" si="5"/>
        <v>-157672.26666666663</v>
      </c>
      <c r="J61" s="29">
        <f t="shared" si="5"/>
        <v>604.10000000003492</v>
      </c>
      <c r="K61" s="29">
        <f t="shared" si="5"/>
        <v>158880.4666666667</v>
      </c>
      <c r="L61" s="29">
        <f t="shared" si="5"/>
        <v>317156.83333333337</v>
      </c>
      <c r="M61" s="29">
        <f t="shared" si="5"/>
        <v>475433.20000000007</v>
      </c>
      <c r="N61" s="29">
        <f t="shared" si="5"/>
        <v>633489.56666666677</v>
      </c>
      <c r="O61" s="29">
        <f t="shared" si="5"/>
        <v>791765.93333333347</v>
      </c>
      <c r="P61" s="29">
        <f t="shared" si="5"/>
        <v>950042.30000000016</v>
      </c>
      <c r="Q61" s="29">
        <f t="shared" si="5"/>
        <v>1108318.6666666667</v>
      </c>
      <c r="R61" s="29">
        <f t="shared" si="5"/>
        <v>1266595.0333333334</v>
      </c>
      <c r="S61" s="29">
        <f t="shared" si="5"/>
        <v>1424871.4000000001</v>
      </c>
      <c r="T61" s="29">
        <f t="shared" si="5"/>
        <v>1583147.7666666668</v>
      </c>
      <c r="U61" s="29">
        <f t="shared" si="5"/>
        <v>1741424.1333333335</v>
      </c>
      <c r="V61" s="29">
        <f t="shared" si="5"/>
        <v>1899700.5000000002</v>
      </c>
      <c r="W61" s="29">
        <f t="shared" si="5"/>
        <v>2057976.8666666669</v>
      </c>
      <c r="X61" s="29">
        <f t="shared" si="5"/>
        <v>2216253.2333333334</v>
      </c>
      <c r="Y61" s="29">
        <f t="shared" si="5"/>
        <v>2374529.6</v>
      </c>
      <c r="Z61" s="29">
        <f t="shared" si="5"/>
        <v>2532585.9666666668</v>
      </c>
      <c r="AA61" s="29">
        <f t="shared" si="5"/>
        <v>2690862.3333333335</v>
      </c>
      <c r="AB61" s="29">
        <f t="shared" si="5"/>
        <v>2849138.7</v>
      </c>
      <c r="AC61" s="29">
        <f t="shared" si="5"/>
        <v>3007415.0666666669</v>
      </c>
      <c r="AD61" s="29">
        <f t="shared" si="5"/>
        <v>3165691.4333333336</v>
      </c>
      <c r="AE61" s="29">
        <f t="shared" si="5"/>
        <v>3323967.8000000003</v>
      </c>
      <c r="AF61" s="29">
        <f t="shared" si="5"/>
        <v>3482244.166666667</v>
      </c>
      <c r="AG61" s="29">
        <f t="shared" si="5"/>
        <v>3640520.5333333337</v>
      </c>
      <c r="AH61" s="29">
        <f t="shared" si="5"/>
        <v>3798796.9000000004</v>
      </c>
      <c r="AI61" s="29">
        <f t="shared" si="5"/>
        <v>3957073.2666666671</v>
      </c>
      <c r="AJ61" s="29">
        <f t="shared" si="5"/>
        <v>4115349.6333333338</v>
      </c>
      <c r="AK61" s="29">
        <f t="shared" si="5"/>
        <v>4273626</v>
      </c>
    </row>
    <row r="62" spans="1:37" x14ac:dyDescent="0.25">
      <c r="A62" t="s">
        <v>61</v>
      </c>
      <c r="B62" s="29">
        <f>SUM(B60:E60)</f>
        <v>-459745.7333333334</v>
      </c>
    </row>
    <row r="63" spans="1:37" x14ac:dyDescent="0.25">
      <c r="A63" t="s">
        <v>142</v>
      </c>
      <c r="B63" t="s">
        <v>63</v>
      </c>
    </row>
    <row r="64" spans="1:37" x14ac:dyDescent="0.25">
      <c r="A64" t="s">
        <v>64</v>
      </c>
      <c r="B64" s="2">
        <f>IRR(B60:Y60)</f>
        <v>0.2000102493520497</v>
      </c>
    </row>
    <row r="65" spans="1:2" x14ac:dyDescent="0.25">
      <c r="A65" t="s">
        <v>144</v>
      </c>
      <c r="B65" s="2">
        <v>0.08</v>
      </c>
    </row>
    <row r="66" spans="1:2" x14ac:dyDescent="0.25">
      <c r="A66" t="s">
        <v>143</v>
      </c>
      <c r="B66" s="23">
        <f>NPV(B65,B60:Y60)</f>
        <v>572554.07096204744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4"/>
  <sheetViews>
    <sheetView zoomScale="80" zoomScaleNormal="80" workbookViewId="0">
      <selection activeCell="F6" sqref="F6"/>
    </sheetView>
  </sheetViews>
  <sheetFormatPr defaultRowHeight="15" x14ac:dyDescent="0.25"/>
  <cols>
    <col min="1" max="1" width="27" bestFit="1" customWidth="1"/>
    <col min="2" max="3" width="12.42578125" bestFit="1" customWidth="1"/>
    <col min="4" max="4" width="12.85546875" bestFit="1" customWidth="1"/>
    <col min="5" max="5" width="12.42578125" bestFit="1" customWidth="1"/>
    <col min="6" max="6" width="11.85546875" bestFit="1" customWidth="1"/>
    <col min="7" max="7" width="11.7109375" bestFit="1" customWidth="1"/>
    <col min="8" max="8" width="12.5703125" bestFit="1" customWidth="1"/>
    <col min="9" max="13" width="12.7109375" bestFit="1" customWidth="1"/>
    <col min="14" max="23" width="10.7109375" bestFit="1" customWidth="1"/>
    <col min="24" max="37" width="12.28515625" bestFit="1" customWidth="1"/>
  </cols>
  <sheetData>
    <row r="1" spans="1:37" x14ac:dyDescent="0.25">
      <c r="A1" t="s">
        <v>2</v>
      </c>
    </row>
    <row r="3" spans="1:37" x14ac:dyDescent="0.25">
      <c r="A3" s="1" t="s">
        <v>0</v>
      </c>
    </row>
    <row r="4" spans="1:37" x14ac:dyDescent="0.25">
      <c r="B4" t="s">
        <v>1</v>
      </c>
    </row>
    <row r="5" spans="1:37" x14ac:dyDescent="0.2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</row>
    <row r="6" spans="1:37" x14ac:dyDescent="0.25">
      <c r="A6" t="s">
        <v>28</v>
      </c>
      <c r="B6" s="5">
        <f>Inputs!$B$33*Inputs!B25</f>
        <v>0</v>
      </c>
      <c r="C6" s="5">
        <f>Inputs!$B$33*Inputs!C25</f>
        <v>0</v>
      </c>
      <c r="D6" s="5">
        <f>Inputs!$B$33*Inputs!D25</f>
        <v>0</v>
      </c>
      <c r="E6" s="5">
        <f>Inputs!$B$33*Inputs!E25</f>
        <v>0</v>
      </c>
      <c r="F6" s="5">
        <f>Inputs!$B$33*Inputs!F25</f>
        <v>23400</v>
      </c>
      <c r="G6" s="5">
        <f>Inputs!$B$33*Inputs!G25</f>
        <v>46800</v>
      </c>
      <c r="H6" s="5">
        <f>Inputs!$B$33*Inputs!H25</f>
        <v>70200</v>
      </c>
      <c r="I6" s="5">
        <f>Inputs!$B$33*Inputs!I25</f>
        <v>93600</v>
      </c>
      <c r="J6" s="5">
        <f>Inputs!$B$33*Inputs!J25</f>
        <v>93600</v>
      </c>
      <c r="K6" s="5">
        <f>Inputs!$B$33*Inputs!K25</f>
        <v>93600</v>
      </c>
      <c r="L6" s="5">
        <f>Inputs!$B$33*Inputs!L25</f>
        <v>93600</v>
      </c>
      <c r="M6" s="5">
        <f>Inputs!$B$33*Inputs!M25</f>
        <v>93600</v>
      </c>
      <c r="N6" s="5">
        <f>Inputs!$B$33*Inputs!N25</f>
        <v>93600</v>
      </c>
      <c r="O6" s="5">
        <f>Inputs!$B$33*Inputs!O25</f>
        <v>93600</v>
      </c>
      <c r="P6" s="5">
        <f>Inputs!$B$33*Inputs!P25</f>
        <v>93600</v>
      </c>
      <c r="Q6" s="5">
        <f>Inputs!$B$33*Inputs!Q25</f>
        <v>93600</v>
      </c>
      <c r="R6" s="5">
        <f>Inputs!$B$33*Inputs!R25</f>
        <v>93600</v>
      </c>
      <c r="S6" s="5">
        <f>Inputs!$B$33*Inputs!S25</f>
        <v>93600</v>
      </c>
      <c r="T6" s="5">
        <f>Inputs!$B$33*Inputs!T25</f>
        <v>93600</v>
      </c>
      <c r="U6" s="5">
        <f>Inputs!$B$33*Inputs!U25</f>
        <v>93600</v>
      </c>
      <c r="V6" s="5">
        <f>Inputs!$B$33*Inputs!V25</f>
        <v>93600</v>
      </c>
      <c r="W6" s="5">
        <f>Inputs!$B$33*Inputs!W25</f>
        <v>93600</v>
      </c>
      <c r="X6" s="5">
        <f>Inputs!$B$33*Inputs!X25</f>
        <v>93600</v>
      </c>
      <c r="Y6" s="5">
        <f>Inputs!$B$33*Inputs!Y25</f>
        <v>93600</v>
      </c>
      <c r="Z6" s="5">
        <f>Inputs!$B$33*Inputs!Z25</f>
        <v>93600</v>
      </c>
      <c r="AA6" s="5">
        <f>Inputs!$B$33*Inputs!AA25</f>
        <v>93600</v>
      </c>
      <c r="AB6" s="5">
        <f>Inputs!$B$33*Inputs!AB25</f>
        <v>93600</v>
      </c>
      <c r="AC6" s="5">
        <f>Inputs!$B$33*Inputs!AC25</f>
        <v>93600</v>
      </c>
      <c r="AD6" s="5">
        <f>Inputs!$B$33*Inputs!AD25</f>
        <v>93600</v>
      </c>
      <c r="AE6" s="5">
        <f>Inputs!$B$33*Inputs!AE25</f>
        <v>93600</v>
      </c>
      <c r="AF6" s="5">
        <f>Inputs!$B$33*Inputs!AF25</f>
        <v>93600</v>
      </c>
      <c r="AG6" s="5">
        <f>Inputs!$B$33*Inputs!AG25</f>
        <v>93600</v>
      </c>
      <c r="AH6" s="5">
        <f>Inputs!$B$33*Inputs!AH25</f>
        <v>93600</v>
      </c>
      <c r="AI6" s="5">
        <f>Inputs!$B$33*Inputs!AI25</f>
        <v>93600</v>
      </c>
      <c r="AJ6" s="5">
        <f>Inputs!$B$33*Inputs!AJ25</f>
        <v>93600</v>
      </c>
      <c r="AK6" s="5">
        <f>Inputs!$B$33*Inputs!AK25</f>
        <v>93600</v>
      </c>
    </row>
    <row r="7" spans="1:37" x14ac:dyDescent="0.25">
      <c r="A7" t="s">
        <v>158</v>
      </c>
      <c r="B7" s="5"/>
      <c r="C7" s="5"/>
      <c r="D7" s="5"/>
      <c r="E7" s="5"/>
      <c r="F7" s="32">
        <f>F6/Inputs!F27</f>
        <v>1440</v>
      </c>
      <c r="G7" s="32">
        <f>G6/Inputs!G27</f>
        <v>1440</v>
      </c>
      <c r="H7" s="32">
        <f>H6/Inputs!H27</f>
        <v>1440</v>
      </c>
      <c r="I7" s="32">
        <f>I6/Inputs!I27</f>
        <v>1440</v>
      </c>
      <c r="J7" s="32">
        <f>J6/Inputs!J27</f>
        <v>1440</v>
      </c>
      <c r="K7" s="32">
        <f>K6/Inputs!K27</f>
        <v>1440</v>
      </c>
      <c r="L7" s="32">
        <f>L6/Inputs!L27</f>
        <v>1440</v>
      </c>
      <c r="M7" s="32">
        <f>M6/Inputs!M27</f>
        <v>1440</v>
      </c>
      <c r="N7" s="32">
        <f>N6/Inputs!N27</f>
        <v>1440</v>
      </c>
      <c r="O7" s="32">
        <f>O6/Inputs!O27</f>
        <v>1440</v>
      </c>
      <c r="P7" s="32">
        <f>P6/Inputs!P27</f>
        <v>1440</v>
      </c>
      <c r="Q7" s="32">
        <f>Q6/Inputs!Q27</f>
        <v>1440</v>
      </c>
      <c r="R7" s="32">
        <f>R6/Inputs!R27</f>
        <v>1440</v>
      </c>
      <c r="S7" s="32">
        <f>S6/Inputs!S27</f>
        <v>1440</v>
      </c>
      <c r="T7" s="32">
        <f>T6/Inputs!T27</f>
        <v>1440</v>
      </c>
      <c r="U7" s="32">
        <f>U6/Inputs!U27</f>
        <v>1440</v>
      </c>
      <c r="V7" s="32">
        <f>V6/Inputs!V27</f>
        <v>1440</v>
      </c>
      <c r="W7" s="32">
        <f>W6/Inputs!W27</f>
        <v>1440</v>
      </c>
      <c r="X7" s="32">
        <f>X6/Inputs!X27</f>
        <v>1440</v>
      </c>
      <c r="Y7" s="32">
        <f>Y6/Inputs!Y27</f>
        <v>1440</v>
      </c>
      <c r="Z7" s="32">
        <f>Z6/Inputs!Z27</f>
        <v>1440</v>
      </c>
      <c r="AA7" s="32">
        <f>AA6/Inputs!AA27</f>
        <v>1440</v>
      </c>
      <c r="AB7" s="32">
        <f>AB6/Inputs!AB27</f>
        <v>1440</v>
      </c>
      <c r="AC7" s="32">
        <f>AC6/Inputs!AC27</f>
        <v>1440</v>
      </c>
      <c r="AD7" s="32">
        <f>AD6/Inputs!AD27</f>
        <v>1440</v>
      </c>
      <c r="AE7" s="32">
        <f>AE6/Inputs!AE27</f>
        <v>1440</v>
      </c>
      <c r="AF7" s="32">
        <f>AF6/Inputs!AF27</f>
        <v>1440</v>
      </c>
      <c r="AG7" s="32">
        <f>AG6/Inputs!AG27</f>
        <v>1440</v>
      </c>
      <c r="AH7" s="32">
        <f>AH6/Inputs!AH27</f>
        <v>1440</v>
      </c>
      <c r="AI7" s="32">
        <f>AI6/Inputs!AI27</f>
        <v>1440</v>
      </c>
      <c r="AJ7" s="32">
        <f>AJ6/Inputs!AJ27</f>
        <v>1440</v>
      </c>
      <c r="AK7" s="32">
        <f>AK6/Inputs!AK27</f>
        <v>1440</v>
      </c>
    </row>
    <row r="8" spans="1:37" x14ac:dyDescent="0.25">
      <c r="A8" t="s">
        <v>159</v>
      </c>
      <c r="B8" s="5"/>
      <c r="C8" s="5"/>
      <c r="D8" s="5"/>
      <c r="E8" s="5"/>
      <c r="F8" s="5">
        <f>F7/Inputs!$B$28</f>
        <v>20</v>
      </c>
      <c r="G8" s="5">
        <f>G7/Inputs!$B$28</f>
        <v>20</v>
      </c>
      <c r="H8" s="5">
        <f>H7/Inputs!$B$28</f>
        <v>20</v>
      </c>
      <c r="I8" s="5">
        <f>I7/Inputs!$B$28</f>
        <v>20</v>
      </c>
      <c r="J8" s="5">
        <f>J7/Inputs!$B$28</f>
        <v>20</v>
      </c>
      <c r="K8" s="5">
        <f>K7/Inputs!$B$28</f>
        <v>20</v>
      </c>
      <c r="L8" s="5">
        <f>L7/Inputs!$B$28</f>
        <v>20</v>
      </c>
      <c r="M8" s="5">
        <f>M7/Inputs!$B$28</f>
        <v>20</v>
      </c>
      <c r="N8" s="5">
        <f>N7/Inputs!$B$28</f>
        <v>20</v>
      </c>
      <c r="O8" s="5">
        <f>O7/Inputs!$B$28</f>
        <v>20</v>
      </c>
      <c r="P8" s="5">
        <f>P7/Inputs!$B$28</f>
        <v>20</v>
      </c>
      <c r="Q8" s="5">
        <f>Q7/Inputs!$B$28</f>
        <v>20</v>
      </c>
      <c r="R8" s="5">
        <f>R7/Inputs!$B$28</f>
        <v>20</v>
      </c>
      <c r="S8" s="5">
        <f>S7/Inputs!$B$28</f>
        <v>20</v>
      </c>
      <c r="T8" s="5">
        <f>T7/Inputs!$B$28</f>
        <v>20</v>
      </c>
      <c r="U8" s="5">
        <f>U7/Inputs!$B$28</f>
        <v>20</v>
      </c>
      <c r="V8" s="5">
        <f>V7/Inputs!$B$28</f>
        <v>20</v>
      </c>
      <c r="W8" s="5">
        <f>W7/Inputs!$B$28</f>
        <v>20</v>
      </c>
      <c r="X8" s="5">
        <f>X7/Inputs!$B$28</f>
        <v>20</v>
      </c>
      <c r="Y8" s="5">
        <f>Y7/Inputs!$B$28</f>
        <v>20</v>
      </c>
      <c r="Z8" s="5">
        <f>Z7/Inputs!$B$28</f>
        <v>20</v>
      </c>
      <c r="AA8" s="5">
        <f>AA7/Inputs!$B$28</f>
        <v>20</v>
      </c>
      <c r="AB8" s="5">
        <f>AB7/Inputs!$B$28</f>
        <v>20</v>
      </c>
      <c r="AC8" s="5">
        <f>AC7/Inputs!$B$28</f>
        <v>20</v>
      </c>
      <c r="AD8" s="5">
        <f>AD7/Inputs!$B$28</f>
        <v>20</v>
      </c>
      <c r="AE8" s="5">
        <f>AE7/Inputs!$B$28</f>
        <v>20</v>
      </c>
      <c r="AF8" s="5">
        <f>AF7/Inputs!$B$28</f>
        <v>20</v>
      </c>
      <c r="AG8" s="5">
        <f>AG7/Inputs!$B$28</f>
        <v>20</v>
      </c>
      <c r="AH8" s="5">
        <f>AH7/Inputs!$B$28</f>
        <v>20</v>
      </c>
      <c r="AI8" s="5">
        <f>AI7/Inputs!$B$28</f>
        <v>20</v>
      </c>
      <c r="AJ8" s="5">
        <f>AJ7/Inputs!$B$28</f>
        <v>20</v>
      </c>
      <c r="AK8" s="5">
        <f>AK7/Inputs!$B$28</f>
        <v>20</v>
      </c>
    </row>
    <row r="10" spans="1:37" x14ac:dyDescent="0.25">
      <c r="A10" s="1" t="s">
        <v>3</v>
      </c>
    </row>
    <row r="12" spans="1:37" x14ac:dyDescent="0.25">
      <c r="A12" t="s">
        <v>9</v>
      </c>
    </row>
    <row r="13" spans="1:37" x14ac:dyDescent="0.25">
      <c r="A13" t="s">
        <v>53</v>
      </c>
      <c r="B13" s="5">
        <f>Inputs!B50*Inputs!B44/2</f>
        <v>500</v>
      </c>
      <c r="C13" s="5">
        <f>Inputs!B50*Inputs!B44/2</f>
        <v>500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37" x14ac:dyDescent="0.25">
      <c r="A14" t="s">
        <v>54</v>
      </c>
      <c r="B14" s="5">
        <f>Inputs!B51*Inputs!B44/2</f>
        <v>2000</v>
      </c>
      <c r="C14" s="5">
        <f>Inputs!B51*Inputs!B44/2</f>
        <v>2000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37" x14ac:dyDescent="0.25">
      <c r="A15" t="s">
        <v>18</v>
      </c>
      <c r="B15" s="5"/>
      <c r="C15" s="5"/>
      <c r="D15" s="5">
        <f>Inputs!B49*Inputs!B44/2</f>
        <v>25000</v>
      </c>
      <c r="E15" s="5">
        <f>Inputs!B49*Inputs!B44/2</f>
        <v>25000</v>
      </c>
      <c r="F15" s="5"/>
      <c r="G15" s="5"/>
      <c r="H15" s="5"/>
      <c r="I15" s="5"/>
      <c r="J15" s="5"/>
      <c r="K15" s="5"/>
      <c r="L15" s="5"/>
      <c r="M15" s="5"/>
    </row>
    <row r="16" spans="1:37" x14ac:dyDescent="0.25">
      <c r="A16" t="s">
        <v>4</v>
      </c>
      <c r="B16" s="5"/>
      <c r="C16" s="5"/>
      <c r="D16" s="5"/>
      <c r="E16" s="5">
        <f>Inputs!B34</f>
        <v>5000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x14ac:dyDescent="0.25">
      <c r="A17" t="s">
        <v>25</v>
      </c>
      <c r="B17" s="5"/>
      <c r="C17" s="5"/>
      <c r="D17" s="5"/>
      <c r="E17" s="5">
        <f>'State Fees'!B2</f>
        <v>440</v>
      </c>
      <c r="F17" s="5"/>
      <c r="G17" s="5"/>
      <c r="H17" s="5"/>
      <c r="I17" s="5"/>
      <c r="J17" s="5"/>
      <c r="K17" s="5"/>
      <c r="L17" s="5"/>
      <c r="M17" s="5"/>
      <c r="N17" s="5">
        <f>'State Fees'!C2</f>
        <v>220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f>N17</f>
        <v>220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x14ac:dyDescent="0.25">
      <c r="A19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t="s">
        <v>10</v>
      </c>
      <c r="B20" s="5"/>
      <c r="C20" s="5"/>
      <c r="D20" s="5"/>
      <c r="E20" s="5"/>
      <c r="F20" s="5">
        <f>Inputs!$E$36*Inputs!$B$12*Inputs!$B$13*Inputs!$B$38</f>
        <v>13478.399999999998</v>
      </c>
      <c r="G20" s="5">
        <f>Inputs!$E$36*Inputs!$B$12*Inputs!$B$13*Inputs!$B$38</f>
        <v>13478.399999999998</v>
      </c>
      <c r="H20" s="5">
        <f>Inputs!$E$36*Inputs!$B$12*Inputs!$B$13*Inputs!$B$38</f>
        <v>13478.399999999998</v>
      </c>
      <c r="I20" s="5">
        <f>Inputs!$E$36*Inputs!$B$12*Inputs!$B$13*Inputs!$B$38</f>
        <v>13478.399999999998</v>
      </c>
      <c r="J20" s="5">
        <f>Inputs!$E$36*Inputs!$B$12*Inputs!$B$13*Inputs!$B$38</f>
        <v>13478.399999999998</v>
      </c>
      <c r="K20" s="5">
        <f>Inputs!$E$36*Inputs!$B$12*Inputs!$B$13*Inputs!$B$38</f>
        <v>13478.399999999998</v>
      </c>
      <c r="L20" s="5">
        <f>Inputs!$E$36*Inputs!$B$12*Inputs!$B$13*Inputs!$B$38</f>
        <v>13478.399999999998</v>
      </c>
      <c r="M20" s="5">
        <f>Inputs!$E$36*Inputs!$B$12*Inputs!$B$13*Inputs!$B$38</f>
        <v>13478.399999999998</v>
      </c>
      <c r="N20" s="5">
        <f>Inputs!$E$36*Inputs!$B$12*Inputs!$B$13*Inputs!$B$38</f>
        <v>13478.399999999998</v>
      </c>
      <c r="O20" s="5">
        <f>Inputs!$E$36*Inputs!$B$12*Inputs!$B$13*Inputs!$B$38</f>
        <v>13478.399999999998</v>
      </c>
      <c r="P20" s="5">
        <f>Inputs!$E$36*Inputs!$B$12*Inputs!$B$13*Inputs!$B$38</f>
        <v>13478.399999999998</v>
      </c>
      <c r="Q20" s="5">
        <f>Inputs!$E$36*Inputs!$B$12*Inputs!$B$13*Inputs!$B$38</f>
        <v>13478.399999999998</v>
      </c>
      <c r="R20" s="5">
        <f>Inputs!$E$36*Inputs!$B$12*Inputs!$B$13*Inputs!$B$38</f>
        <v>13478.399999999998</v>
      </c>
      <c r="S20" s="5">
        <f>Inputs!$E$36*Inputs!$B$12*Inputs!$B$13*Inputs!$B$38</f>
        <v>13478.399999999998</v>
      </c>
      <c r="T20" s="5">
        <f>Inputs!$E$36*Inputs!$B$12*Inputs!$B$13*Inputs!$B$38</f>
        <v>13478.399999999998</v>
      </c>
      <c r="U20" s="5">
        <f>Inputs!$E$36*Inputs!$B$12*Inputs!$B$13*Inputs!$B$38</f>
        <v>13478.399999999998</v>
      </c>
      <c r="V20" s="5">
        <f>Inputs!$E$36*Inputs!$B$12*Inputs!$B$13*Inputs!$B$38</f>
        <v>13478.399999999998</v>
      </c>
      <c r="W20" s="5">
        <f>Inputs!$E$36*Inputs!$B$12*Inputs!$B$13*Inputs!$B$38</f>
        <v>13478.399999999998</v>
      </c>
      <c r="X20" s="5">
        <f>Inputs!$E$36*Inputs!$B$12*Inputs!$B$13*Inputs!$B$38</f>
        <v>13478.399999999998</v>
      </c>
      <c r="Y20" s="5">
        <f>Inputs!$E$36*Inputs!$B$12*Inputs!$B$13*Inputs!$B$38</f>
        <v>13478.399999999998</v>
      </c>
      <c r="Z20" s="5">
        <f>Inputs!$E$36*Inputs!$B$12*Inputs!$B$13*Inputs!$B$38</f>
        <v>13478.399999999998</v>
      </c>
      <c r="AA20" s="5">
        <f>Inputs!$E$36*Inputs!$B$12*Inputs!$B$13*Inputs!$B$38</f>
        <v>13478.399999999998</v>
      </c>
      <c r="AB20" s="5">
        <f>Inputs!$E$36*Inputs!$B$12*Inputs!$B$13*Inputs!$B$38</f>
        <v>13478.399999999998</v>
      </c>
      <c r="AC20" s="5">
        <f>Inputs!$E$36*Inputs!$B$12*Inputs!$B$13*Inputs!$B$38</f>
        <v>13478.399999999998</v>
      </c>
      <c r="AD20" s="5">
        <f>Inputs!$E$36*Inputs!$B$12*Inputs!$B$13*Inputs!$B$38</f>
        <v>13478.399999999998</v>
      </c>
      <c r="AE20" s="5">
        <f>Inputs!$E$36*Inputs!$B$12*Inputs!$B$13*Inputs!$B$38</f>
        <v>13478.399999999998</v>
      </c>
      <c r="AF20" s="5">
        <f>Inputs!$E$36*Inputs!$B$12*Inputs!$B$13*Inputs!$B$38</f>
        <v>13478.399999999998</v>
      </c>
      <c r="AG20" s="5">
        <f>Inputs!$E$36*Inputs!$B$12*Inputs!$B$13*Inputs!$B$38</f>
        <v>13478.399999999998</v>
      </c>
      <c r="AH20" s="5">
        <f>Inputs!$E$36*Inputs!$B$12*Inputs!$B$13*Inputs!$B$38</f>
        <v>13478.399999999998</v>
      </c>
      <c r="AI20" s="5">
        <f>Inputs!$E$36*Inputs!$B$12*Inputs!$B$13*Inputs!$B$38</f>
        <v>13478.399999999998</v>
      </c>
      <c r="AJ20" s="5">
        <f>Inputs!$E$36*Inputs!$B$12*Inputs!$B$13*Inputs!$B$38</f>
        <v>13478.399999999998</v>
      </c>
      <c r="AK20" s="5">
        <f>Inputs!$E$36*Inputs!$B$12*Inputs!$B$13*Inputs!$B$38</f>
        <v>13478.399999999998</v>
      </c>
    </row>
    <row r="21" spans="1:37" x14ac:dyDescent="0.25">
      <c r="A21" t="s">
        <v>26</v>
      </c>
      <c r="B21" s="5"/>
      <c r="C21" s="5"/>
      <c r="D21" s="5"/>
      <c r="E21" s="5"/>
      <c r="F21" s="5">
        <f>Inputs!$E$37*Inputs!$B$13*Inputs!$B$12</f>
        <v>5990.4</v>
      </c>
      <c r="G21" s="5">
        <f>Inputs!$E$37*Inputs!$B$13*Inputs!$B$12</f>
        <v>5990.4</v>
      </c>
      <c r="H21" s="5">
        <f>Inputs!$E$37*Inputs!$B$13*Inputs!$B$12</f>
        <v>5990.4</v>
      </c>
      <c r="I21" s="5">
        <f>Inputs!$E$37*Inputs!$B$13*Inputs!$B$12</f>
        <v>5990.4</v>
      </c>
      <c r="J21" s="5">
        <f>Inputs!$E$37*Inputs!$B$13*Inputs!$B$12</f>
        <v>5990.4</v>
      </c>
      <c r="K21" s="5">
        <f>Inputs!$E$37*Inputs!$B$13*Inputs!$B$12</f>
        <v>5990.4</v>
      </c>
      <c r="L21" s="5">
        <f>Inputs!$E$37*Inputs!$B$13*Inputs!$B$12</f>
        <v>5990.4</v>
      </c>
      <c r="M21" s="5">
        <f>Inputs!$E$37*Inputs!$B$13*Inputs!$B$12</f>
        <v>5990.4</v>
      </c>
      <c r="N21" s="5">
        <f>Inputs!$E$37*Inputs!$B$13*Inputs!$B$12</f>
        <v>5990.4</v>
      </c>
      <c r="O21" s="5">
        <f>Inputs!$E$37*Inputs!$B$13*Inputs!$B$12</f>
        <v>5990.4</v>
      </c>
      <c r="P21" s="5">
        <f>Inputs!$E$37*Inputs!$B$13*Inputs!$B$12</f>
        <v>5990.4</v>
      </c>
      <c r="Q21" s="5">
        <f>Inputs!$E$37*Inputs!$B$13*Inputs!$B$12</f>
        <v>5990.4</v>
      </c>
      <c r="R21" s="5">
        <f>Inputs!$E$37*Inputs!$B$13*Inputs!$B$12</f>
        <v>5990.4</v>
      </c>
      <c r="S21" s="5">
        <f>Inputs!$E$37*Inputs!$B$13*Inputs!$B$12</f>
        <v>5990.4</v>
      </c>
      <c r="T21" s="5">
        <f>Inputs!$E$37*Inputs!$B$13*Inputs!$B$12</f>
        <v>5990.4</v>
      </c>
      <c r="U21" s="5">
        <f>Inputs!$E$37*Inputs!$B$13*Inputs!$B$12</f>
        <v>5990.4</v>
      </c>
      <c r="V21" s="5">
        <f>Inputs!$E$37*Inputs!$B$13*Inputs!$B$12</f>
        <v>5990.4</v>
      </c>
      <c r="W21" s="5">
        <f>Inputs!$E$37*Inputs!$B$13*Inputs!$B$12</f>
        <v>5990.4</v>
      </c>
      <c r="X21" s="5">
        <f>Inputs!$E$37*Inputs!$B$13*Inputs!$B$12</f>
        <v>5990.4</v>
      </c>
      <c r="Y21" s="5">
        <f>Inputs!$E$37*Inputs!$B$13*Inputs!$B$12</f>
        <v>5990.4</v>
      </c>
      <c r="Z21" s="5">
        <f>Inputs!$E$37*Inputs!$B$13*Inputs!$B$12</f>
        <v>5990.4</v>
      </c>
      <c r="AA21" s="5">
        <f>Inputs!$E$37*Inputs!$B$13*Inputs!$B$12</f>
        <v>5990.4</v>
      </c>
      <c r="AB21" s="5">
        <f>Inputs!$E$37*Inputs!$B$13*Inputs!$B$12</f>
        <v>5990.4</v>
      </c>
      <c r="AC21" s="5">
        <f>Inputs!$E$37*Inputs!$B$13*Inputs!$B$12</f>
        <v>5990.4</v>
      </c>
      <c r="AD21" s="5">
        <f>Inputs!$E$37*Inputs!$B$13*Inputs!$B$12</f>
        <v>5990.4</v>
      </c>
      <c r="AE21" s="5">
        <f>Inputs!$E$37*Inputs!$B$13*Inputs!$B$12</f>
        <v>5990.4</v>
      </c>
      <c r="AF21" s="5">
        <f>Inputs!$E$37*Inputs!$B$13*Inputs!$B$12</f>
        <v>5990.4</v>
      </c>
      <c r="AG21" s="5">
        <f>Inputs!$E$37*Inputs!$B$13*Inputs!$B$12</f>
        <v>5990.4</v>
      </c>
      <c r="AH21" s="5">
        <f>Inputs!$E$37*Inputs!$B$13*Inputs!$B$12</f>
        <v>5990.4</v>
      </c>
      <c r="AI21" s="5">
        <f>Inputs!$E$37*Inputs!$B$13*Inputs!$B$12</f>
        <v>5990.4</v>
      </c>
      <c r="AJ21" s="5">
        <f>Inputs!$E$37*Inputs!$B$13*Inputs!$B$12</f>
        <v>5990.4</v>
      </c>
      <c r="AK21" s="5">
        <f>Inputs!$E$37*Inputs!$B$13*Inputs!$B$12</f>
        <v>5990.4</v>
      </c>
    </row>
    <row r="22" spans="1:37" x14ac:dyDescent="0.25">
      <c r="A22" t="s">
        <v>136</v>
      </c>
      <c r="B22" s="5">
        <f>Inputs!$B$54/12*(Inputs!$B$44/Inputs!$B$42)</f>
        <v>1000</v>
      </c>
      <c r="C22" s="5">
        <f>Inputs!$B$54/12*(Inputs!$B$44/Inputs!$B$42)</f>
        <v>1000</v>
      </c>
      <c r="D22" s="5">
        <f>Inputs!$B$54/12*(Inputs!$B$44/Inputs!$B$42)</f>
        <v>1000</v>
      </c>
      <c r="E22" s="5">
        <f>Inputs!$B$54/12*(Inputs!$B$44/Inputs!$B$42)</f>
        <v>1000</v>
      </c>
      <c r="F22" s="5">
        <f>Inputs!$B$54/12*(Inputs!$B$44/Inputs!$B$42)</f>
        <v>1000</v>
      </c>
      <c r="G22" s="5">
        <f>Inputs!$B$54/12*(Inputs!$B$44/Inputs!$B$42)</f>
        <v>1000</v>
      </c>
      <c r="H22" s="5">
        <f>Inputs!$B$54/12*(Inputs!$B$44/Inputs!$B$42)</f>
        <v>1000</v>
      </c>
      <c r="I22" s="5">
        <f>Inputs!$B$54/12*(Inputs!$B$44/Inputs!$B$42)</f>
        <v>1000</v>
      </c>
      <c r="J22" s="5">
        <f>Inputs!$B$54/12*(Inputs!$B$44/Inputs!$B$42)</f>
        <v>1000</v>
      </c>
      <c r="K22" s="5">
        <f>Inputs!$B$54/12*(Inputs!$B$44/Inputs!$B$42)</f>
        <v>1000</v>
      </c>
      <c r="L22" s="5">
        <f>Inputs!$B$54/12*(Inputs!$B$44/Inputs!$B$42)</f>
        <v>1000</v>
      </c>
      <c r="M22" s="5">
        <f>Inputs!$B$54/12*(Inputs!$B$44/Inputs!$B$42)</f>
        <v>1000</v>
      </c>
      <c r="N22" s="5">
        <f>Inputs!$B$54/12*(Inputs!$B$44/Inputs!$B$42)</f>
        <v>1000</v>
      </c>
      <c r="O22" s="5">
        <f>Inputs!$B$54/12*(Inputs!$B$44/Inputs!$B$42)</f>
        <v>1000</v>
      </c>
      <c r="P22" s="5">
        <f>Inputs!$B$54/12*(Inputs!$B$44/Inputs!$B$42)</f>
        <v>1000</v>
      </c>
      <c r="Q22" s="5">
        <f>Inputs!$B$54/12*(Inputs!$B$44/Inputs!$B$42)</f>
        <v>1000</v>
      </c>
      <c r="R22" s="5">
        <f>Inputs!$B$54/12*(Inputs!$B$44/Inputs!$B$42)</f>
        <v>1000</v>
      </c>
      <c r="S22" s="5">
        <f>Inputs!$B$54/12*(Inputs!$B$44/Inputs!$B$42)</f>
        <v>1000</v>
      </c>
      <c r="T22" s="5">
        <f>Inputs!$B$54/12*(Inputs!$B$44/Inputs!$B$42)</f>
        <v>1000</v>
      </c>
      <c r="U22" s="5">
        <f>Inputs!$B$54/12*(Inputs!$B$44/Inputs!$B$42)</f>
        <v>1000</v>
      </c>
      <c r="V22" s="5">
        <f>Inputs!$B$54/12*(Inputs!$B$44/Inputs!$B$42)</f>
        <v>1000</v>
      </c>
      <c r="W22" s="5">
        <f>Inputs!$B$54/12*(Inputs!$B$44/Inputs!$B$42)</f>
        <v>1000</v>
      </c>
      <c r="X22" s="5">
        <f>Inputs!$B$54/12*(Inputs!$B$44/Inputs!$B$42)</f>
        <v>1000</v>
      </c>
      <c r="Y22" s="5">
        <f>Inputs!$B$54/12*(Inputs!$B$44/Inputs!$B$42)</f>
        <v>1000</v>
      </c>
      <c r="Z22" s="5">
        <f>Inputs!$B$54/12*(Inputs!$B$44/Inputs!$B$42)</f>
        <v>1000</v>
      </c>
      <c r="AA22" s="5">
        <f>Inputs!$B$54/12*(Inputs!$B$44/Inputs!$B$42)</f>
        <v>1000</v>
      </c>
      <c r="AB22" s="5">
        <f>Inputs!$B$54/12*(Inputs!$B$44/Inputs!$B$42)</f>
        <v>1000</v>
      </c>
      <c r="AC22" s="5">
        <f>Inputs!$B$54/12*(Inputs!$B$44/Inputs!$B$42)</f>
        <v>1000</v>
      </c>
      <c r="AD22" s="5">
        <f>Inputs!$B$54/12*(Inputs!$B$44/Inputs!$B$42)</f>
        <v>1000</v>
      </c>
      <c r="AE22" s="5">
        <f>Inputs!$B$54/12*(Inputs!$B$44/Inputs!$B$42)</f>
        <v>1000</v>
      </c>
      <c r="AF22" s="5">
        <f>Inputs!$B$54/12*(Inputs!$B$44/Inputs!$B$42)</f>
        <v>1000</v>
      </c>
      <c r="AG22" s="5">
        <f>Inputs!$B$54/12*(Inputs!$B$44/Inputs!$B$42)</f>
        <v>1000</v>
      </c>
      <c r="AH22" s="5">
        <f>Inputs!$B$54/12*(Inputs!$B$44/Inputs!$B$42)</f>
        <v>1000</v>
      </c>
      <c r="AI22" s="5">
        <f>Inputs!$B$54/12*(Inputs!$B$44/Inputs!$B$42)</f>
        <v>1000</v>
      </c>
      <c r="AJ22" s="5">
        <f>Inputs!$B$54/12*(Inputs!$B$44/Inputs!$B$42)</f>
        <v>1000</v>
      </c>
      <c r="AK22" s="5">
        <f>Inputs!$B$54/12*(Inputs!$B$44/Inputs!$B$42)</f>
        <v>1000</v>
      </c>
    </row>
    <row r="23" spans="1:37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x14ac:dyDescent="0.25">
      <c r="A24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x14ac:dyDescent="0.25">
      <c r="A25" t="s">
        <v>22</v>
      </c>
      <c r="B25" s="5">
        <f>Inputs!$B$45*Inputs!$B$44</f>
        <v>3000</v>
      </c>
      <c r="C25" s="5">
        <f>Inputs!$B$45*Inputs!$B$44</f>
        <v>3000</v>
      </c>
      <c r="D25" s="5">
        <f>Inputs!$B$45*Inputs!$B$44</f>
        <v>3000</v>
      </c>
      <c r="E25" s="5">
        <f>Inputs!$B$45*Inputs!$B$44</f>
        <v>3000</v>
      </c>
      <c r="F25" s="5">
        <f>Inputs!$B$45*Inputs!$B$44</f>
        <v>3000</v>
      </c>
      <c r="G25" s="5">
        <f>Inputs!$B$45*Inputs!$B$44</f>
        <v>3000</v>
      </c>
      <c r="H25" s="5">
        <f>Inputs!$B$45*Inputs!$B$44</f>
        <v>3000</v>
      </c>
      <c r="I25" s="5">
        <f>Inputs!$B$45*Inputs!$B$44</f>
        <v>3000</v>
      </c>
      <c r="J25" s="5">
        <f>Inputs!$B$45*Inputs!$B$44</f>
        <v>3000</v>
      </c>
      <c r="K25" s="5">
        <f>Inputs!$B$45*Inputs!$B$44</f>
        <v>3000</v>
      </c>
      <c r="L25" s="5">
        <f>Inputs!$B$45*Inputs!$B$44</f>
        <v>3000</v>
      </c>
      <c r="M25" s="5">
        <f>Inputs!$B$45*Inputs!$B$44</f>
        <v>3000</v>
      </c>
      <c r="N25" s="5">
        <f>Inputs!$B$45*Inputs!$B$44</f>
        <v>3000</v>
      </c>
      <c r="O25" s="5">
        <f>Inputs!$B$45*Inputs!$B$44</f>
        <v>3000</v>
      </c>
      <c r="P25" s="5">
        <f>Inputs!$B$45*Inputs!$B$44</f>
        <v>3000</v>
      </c>
      <c r="Q25" s="5">
        <f>Inputs!$B$45*Inputs!$B$44</f>
        <v>3000</v>
      </c>
      <c r="R25" s="5">
        <f>Inputs!$B$45*Inputs!$B$44</f>
        <v>3000</v>
      </c>
      <c r="S25" s="5">
        <f>Inputs!$B$45*Inputs!$B$44</f>
        <v>3000</v>
      </c>
      <c r="T25" s="5">
        <f>Inputs!$B$45*Inputs!$B$44</f>
        <v>3000</v>
      </c>
      <c r="U25" s="5">
        <f>Inputs!$B$45*Inputs!$B$44</f>
        <v>3000</v>
      </c>
      <c r="V25" s="5">
        <f>Inputs!$B$45*Inputs!$B$44</f>
        <v>3000</v>
      </c>
      <c r="W25" s="5">
        <f>Inputs!$B$45*Inputs!$B$44</f>
        <v>3000</v>
      </c>
      <c r="X25" s="5">
        <f>Inputs!$B$45*Inputs!$B$44</f>
        <v>3000</v>
      </c>
      <c r="Y25" s="5">
        <f>Inputs!$B$45*Inputs!$B$44</f>
        <v>3000</v>
      </c>
      <c r="Z25" s="5">
        <f>Inputs!$B$45*Inputs!$B$44</f>
        <v>3000</v>
      </c>
      <c r="AA25" s="5">
        <f>Inputs!$B$45*Inputs!$B$44</f>
        <v>3000</v>
      </c>
      <c r="AB25" s="5">
        <f>Inputs!$B$45*Inputs!$B$44</f>
        <v>3000</v>
      </c>
      <c r="AC25" s="5">
        <f>Inputs!$B$45*Inputs!$B$44</f>
        <v>3000</v>
      </c>
      <c r="AD25" s="5">
        <f>Inputs!$B$45*Inputs!$B$44</f>
        <v>3000</v>
      </c>
      <c r="AE25" s="5">
        <f>Inputs!$B$45*Inputs!$B$44</f>
        <v>3000</v>
      </c>
      <c r="AF25" s="5">
        <f>Inputs!$B$45*Inputs!$B$44</f>
        <v>3000</v>
      </c>
      <c r="AG25" s="5">
        <f>Inputs!$B$45*Inputs!$B$44</f>
        <v>3000</v>
      </c>
      <c r="AH25" s="5">
        <f>Inputs!$B$45*Inputs!$B$44</f>
        <v>3000</v>
      </c>
      <c r="AI25" s="5">
        <f>Inputs!$B$45*Inputs!$B$44</f>
        <v>3000</v>
      </c>
      <c r="AJ25" s="5">
        <f>Inputs!$B$45*Inputs!$B$44</f>
        <v>3000</v>
      </c>
      <c r="AK25" s="5">
        <f>Inputs!$B$45*Inputs!$B$44</f>
        <v>3000</v>
      </c>
    </row>
    <row r="26" spans="1:37" x14ac:dyDescent="0.25">
      <c r="A26" t="s">
        <v>13</v>
      </c>
      <c r="B26" s="5">
        <f>Inputs!$B$46*Inputs!$B$44</f>
        <v>184.16666666666669</v>
      </c>
      <c r="C26" s="5">
        <f>Inputs!$B$46*Inputs!$B$44</f>
        <v>184.16666666666669</v>
      </c>
      <c r="D26" s="5">
        <f>Inputs!$B$46*Inputs!$B$44</f>
        <v>184.16666666666669</v>
      </c>
      <c r="E26" s="5">
        <f>Inputs!$B$46*Inputs!$B$44</f>
        <v>184.16666666666669</v>
      </c>
      <c r="F26" s="5">
        <f>Inputs!$B$46*Inputs!$B$44</f>
        <v>184.16666666666669</v>
      </c>
      <c r="G26" s="5">
        <f>Inputs!$B$46*Inputs!$B$44</f>
        <v>184.16666666666669</v>
      </c>
      <c r="H26" s="5">
        <f>Inputs!$B$46*Inputs!$B$44</f>
        <v>184.16666666666669</v>
      </c>
      <c r="I26" s="5">
        <f>Inputs!$B$46*Inputs!$B$44</f>
        <v>184.16666666666669</v>
      </c>
      <c r="J26" s="5">
        <f>Inputs!$B$46*Inputs!$B$44</f>
        <v>184.16666666666669</v>
      </c>
      <c r="K26" s="5">
        <f>Inputs!$B$46*Inputs!$B$44</f>
        <v>184.16666666666669</v>
      </c>
      <c r="L26" s="5">
        <f>Inputs!$B$46*Inputs!$B$44</f>
        <v>184.16666666666669</v>
      </c>
      <c r="M26" s="5">
        <f>Inputs!$B$46*Inputs!$B$44</f>
        <v>184.16666666666669</v>
      </c>
      <c r="N26" s="5">
        <f>Inputs!$B$46*Inputs!$B$44</f>
        <v>184.16666666666669</v>
      </c>
      <c r="O26" s="5">
        <f>Inputs!$B$46*Inputs!$B$44</f>
        <v>184.16666666666669</v>
      </c>
      <c r="P26" s="5">
        <f>Inputs!$B$46*Inputs!$B$44</f>
        <v>184.16666666666669</v>
      </c>
      <c r="Q26" s="5">
        <f>Inputs!$B$46*Inputs!$B$44</f>
        <v>184.16666666666669</v>
      </c>
      <c r="R26" s="5">
        <f>Inputs!$B$46*Inputs!$B$44</f>
        <v>184.16666666666669</v>
      </c>
      <c r="S26" s="5">
        <f>Inputs!$B$46*Inputs!$B$44</f>
        <v>184.16666666666669</v>
      </c>
      <c r="T26" s="5">
        <f>Inputs!$B$46*Inputs!$B$44</f>
        <v>184.16666666666669</v>
      </c>
      <c r="U26" s="5">
        <f>Inputs!$B$46*Inputs!$B$44</f>
        <v>184.16666666666669</v>
      </c>
      <c r="V26" s="5">
        <f>Inputs!$B$46*Inputs!$B$44</f>
        <v>184.16666666666669</v>
      </c>
      <c r="W26" s="5">
        <f>Inputs!$B$46*Inputs!$B$44</f>
        <v>184.16666666666669</v>
      </c>
      <c r="X26" s="5">
        <f>Inputs!$B$46*Inputs!$B$44</f>
        <v>184.16666666666669</v>
      </c>
      <c r="Y26" s="5">
        <f>Inputs!$B$46*Inputs!$B$44</f>
        <v>184.16666666666669</v>
      </c>
      <c r="Z26" s="5">
        <f>Inputs!$B$46*Inputs!$B$44</f>
        <v>184.16666666666669</v>
      </c>
      <c r="AA26" s="5">
        <f>Inputs!$B$46*Inputs!$B$44</f>
        <v>184.16666666666669</v>
      </c>
      <c r="AB26" s="5">
        <f>Inputs!$B$46*Inputs!$B$44</f>
        <v>184.16666666666669</v>
      </c>
      <c r="AC26" s="5">
        <f>Inputs!$B$46*Inputs!$B$44</f>
        <v>184.16666666666669</v>
      </c>
      <c r="AD26" s="5">
        <f>Inputs!$B$46*Inputs!$B$44</f>
        <v>184.16666666666669</v>
      </c>
      <c r="AE26" s="5">
        <f>Inputs!$B$46*Inputs!$B$44</f>
        <v>184.16666666666669</v>
      </c>
      <c r="AF26" s="5">
        <f>Inputs!$B$46*Inputs!$B$44</f>
        <v>184.16666666666669</v>
      </c>
      <c r="AG26" s="5">
        <f>Inputs!$B$46*Inputs!$B$44</f>
        <v>184.16666666666669</v>
      </c>
      <c r="AH26" s="5">
        <f>Inputs!$B$46*Inputs!$B$44</f>
        <v>184.16666666666669</v>
      </c>
      <c r="AI26" s="5">
        <f>Inputs!$B$46*Inputs!$B$44</f>
        <v>184.16666666666669</v>
      </c>
      <c r="AJ26" s="5">
        <f>Inputs!$B$46*Inputs!$B$44</f>
        <v>184.16666666666669</v>
      </c>
      <c r="AK26" s="5">
        <f>Inputs!$B$46*Inputs!$B$44</f>
        <v>184.16666666666669</v>
      </c>
    </row>
    <row r="27" spans="1:37" x14ac:dyDescent="0.25">
      <c r="A27" t="s">
        <v>14</v>
      </c>
      <c r="B27" s="5">
        <f>Inputs!$B$47/2</f>
        <v>202.8</v>
      </c>
      <c r="C27" s="5">
        <f>Inputs!$B$47/2</f>
        <v>202.8</v>
      </c>
      <c r="D27" s="5">
        <f>Inputs!$B$47/2</f>
        <v>202.8</v>
      </c>
      <c r="E27" s="5">
        <f>Inputs!$B$47/2</f>
        <v>202.8</v>
      </c>
      <c r="F27" s="5">
        <f>Inputs!$B$47/2</f>
        <v>202.8</v>
      </c>
      <c r="G27" s="5">
        <f>Inputs!$B$47/2</f>
        <v>202.8</v>
      </c>
      <c r="H27" s="5">
        <f>Inputs!$B$47/2</f>
        <v>202.8</v>
      </c>
      <c r="I27" s="5">
        <f>Inputs!$B$47/2</f>
        <v>202.8</v>
      </c>
      <c r="J27" s="5">
        <f>Inputs!$B$47/2</f>
        <v>202.8</v>
      </c>
      <c r="K27" s="5">
        <f>Inputs!$B$47/2</f>
        <v>202.8</v>
      </c>
      <c r="L27" s="5">
        <f>Inputs!$B$47/2</f>
        <v>202.8</v>
      </c>
      <c r="M27" s="5">
        <f>Inputs!$B$47/2</f>
        <v>202.8</v>
      </c>
      <c r="N27" s="5">
        <f>Inputs!$B$47/2</f>
        <v>202.8</v>
      </c>
      <c r="O27" s="5">
        <f>Inputs!$B$47/2</f>
        <v>202.8</v>
      </c>
      <c r="P27" s="5">
        <f>Inputs!$B$47/2</f>
        <v>202.8</v>
      </c>
      <c r="Q27" s="5">
        <f>Inputs!$B$47/2</f>
        <v>202.8</v>
      </c>
      <c r="R27" s="5">
        <f>Inputs!$B$47/2</f>
        <v>202.8</v>
      </c>
      <c r="S27" s="5">
        <f>Inputs!$B$47/2</f>
        <v>202.8</v>
      </c>
      <c r="T27" s="5">
        <f>Inputs!$B$47/2</f>
        <v>202.8</v>
      </c>
      <c r="U27" s="5">
        <f>Inputs!$B$47/2</f>
        <v>202.8</v>
      </c>
      <c r="V27" s="5">
        <f>Inputs!$B$47/2</f>
        <v>202.8</v>
      </c>
      <c r="W27" s="5">
        <f>Inputs!$B$47/2</f>
        <v>202.8</v>
      </c>
      <c r="X27" s="5">
        <f>Inputs!$B$47/2</f>
        <v>202.8</v>
      </c>
      <c r="Y27" s="5">
        <f>Inputs!$B$47/2</f>
        <v>202.8</v>
      </c>
      <c r="Z27" s="5">
        <f>Inputs!$B$47/2</f>
        <v>202.8</v>
      </c>
      <c r="AA27" s="5">
        <f>Inputs!$B$47/2</f>
        <v>202.8</v>
      </c>
      <c r="AB27" s="5">
        <f>Inputs!$B$47/2</f>
        <v>202.8</v>
      </c>
      <c r="AC27" s="5">
        <f>Inputs!$B$47/2</f>
        <v>202.8</v>
      </c>
      <c r="AD27" s="5">
        <f>Inputs!$B$47/2</f>
        <v>202.8</v>
      </c>
      <c r="AE27" s="5">
        <f>Inputs!$B$47/2</f>
        <v>202.8</v>
      </c>
      <c r="AF27" s="5">
        <f>Inputs!$B$47/2</f>
        <v>202.8</v>
      </c>
      <c r="AG27" s="5">
        <f>Inputs!$B$47/2</f>
        <v>202.8</v>
      </c>
      <c r="AH27" s="5">
        <f>Inputs!$B$47/2</f>
        <v>202.8</v>
      </c>
      <c r="AI27" s="5">
        <f>Inputs!$B$47/2</f>
        <v>202.8</v>
      </c>
      <c r="AJ27" s="5">
        <f>Inputs!$B$47/2</f>
        <v>202.8</v>
      </c>
      <c r="AK27" s="5">
        <f>Inputs!$B$47/2</f>
        <v>202.8</v>
      </c>
    </row>
    <row r="28" spans="1:37" x14ac:dyDescent="0.25">
      <c r="A28" t="s">
        <v>15</v>
      </c>
      <c r="B28" s="5"/>
      <c r="C28" s="5"/>
      <c r="D28" s="5"/>
      <c r="E28" s="5"/>
      <c r="F28" s="5">
        <f>Inputs!$B$44*Inputs!$B$52</f>
        <v>100</v>
      </c>
      <c r="G28" s="5">
        <f>Inputs!$B$44*Inputs!$B$52</f>
        <v>100</v>
      </c>
      <c r="H28" s="5">
        <f>Inputs!$B$44*Inputs!$B$52</f>
        <v>100</v>
      </c>
      <c r="I28" s="5">
        <f>Inputs!$B$44*Inputs!$B$52</f>
        <v>100</v>
      </c>
      <c r="J28" s="5">
        <f>Inputs!$B$44*Inputs!$B$52</f>
        <v>100</v>
      </c>
      <c r="K28" s="5">
        <f>Inputs!$B$44*Inputs!$B$52</f>
        <v>100</v>
      </c>
      <c r="L28" s="5">
        <f>Inputs!$B$44*Inputs!$B$52</f>
        <v>100</v>
      </c>
      <c r="M28" s="5">
        <f>Inputs!$B$44*Inputs!$B$52</f>
        <v>100</v>
      </c>
      <c r="N28" s="5">
        <f>Inputs!$B$44*Inputs!$B$52</f>
        <v>100</v>
      </c>
      <c r="O28" s="5">
        <f>Inputs!$B$44*Inputs!$B$52</f>
        <v>100</v>
      </c>
      <c r="P28" s="5">
        <f>Inputs!$B$44*Inputs!$B$52</f>
        <v>100</v>
      </c>
      <c r="Q28" s="5">
        <f>Inputs!$B$44*Inputs!$B$52</f>
        <v>100</v>
      </c>
      <c r="R28" s="5">
        <f>Inputs!$B$44*Inputs!$B$52</f>
        <v>100</v>
      </c>
      <c r="S28" s="5">
        <f>Inputs!$B$44*Inputs!$B$52</f>
        <v>100</v>
      </c>
      <c r="T28" s="5">
        <f>Inputs!$B$44*Inputs!$B$52</f>
        <v>100</v>
      </c>
      <c r="U28" s="5">
        <f>Inputs!$B$44*Inputs!$B$52</f>
        <v>100</v>
      </c>
      <c r="V28" s="5">
        <f>Inputs!$B$44*Inputs!$B$52</f>
        <v>100</v>
      </c>
      <c r="W28" s="5">
        <f>Inputs!$B$44*Inputs!$B$52</f>
        <v>100</v>
      </c>
      <c r="X28" s="5">
        <f>Inputs!$B$44*Inputs!$B$52</f>
        <v>100</v>
      </c>
      <c r="Y28" s="5">
        <f>Inputs!$B$44*Inputs!$B$52</f>
        <v>100</v>
      </c>
      <c r="Z28" s="5">
        <f>Inputs!$B$44*Inputs!$B$52</f>
        <v>100</v>
      </c>
      <c r="AA28" s="5">
        <f>Inputs!$B$44*Inputs!$B$52</f>
        <v>100</v>
      </c>
      <c r="AB28" s="5">
        <f>Inputs!$B$44*Inputs!$B$52</f>
        <v>100</v>
      </c>
      <c r="AC28" s="5">
        <f>Inputs!$B$44*Inputs!$B$52</f>
        <v>100</v>
      </c>
      <c r="AD28" s="5">
        <f>Inputs!$B$44*Inputs!$B$52</f>
        <v>100</v>
      </c>
      <c r="AE28" s="5">
        <f>Inputs!$B$44*Inputs!$B$52</f>
        <v>100</v>
      </c>
      <c r="AF28" s="5">
        <f>Inputs!$B$44*Inputs!$B$52</f>
        <v>100</v>
      </c>
      <c r="AG28" s="5">
        <f>Inputs!$B$44*Inputs!$B$52</f>
        <v>100</v>
      </c>
      <c r="AH28" s="5">
        <f>Inputs!$B$44*Inputs!$B$52</f>
        <v>100</v>
      </c>
      <c r="AI28" s="5">
        <f>Inputs!$B$44*Inputs!$B$52</f>
        <v>100</v>
      </c>
      <c r="AJ28" s="5">
        <f>Inputs!$B$44*Inputs!$B$52</f>
        <v>100</v>
      </c>
      <c r="AK28" s="5">
        <f>Inputs!$B$44*Inputs!$B$52</f>
        <v>100</v>
      </c>
    </row>
    <row r="29" spans="1:37" x14ac:dyDescent="0.25">
      <c r="A29" t="s">
        <v>12</v>
      </c>
      <c r="B29" s="5"/>
      <c r="C29" s="5"/>
      <c r="D29" s="5"/>
      <c r="E29" s="5"/>
      <c r="F29" s="5">
        <f>Inputs!$B$53*Inputs!$B$44</f>
        <v>300</v>
      </c>
      <c r="G29" s="5">
        <f>Inputs!$B$53*Inputs!$B$44</f>
        <v>300</v>
      </c>
      <c r="H29" s="5">
        <f>Inputs!$B$53*Inputs!$B$44</f>
        <v>300</v>
      </c>
      <c r="I29" s="5">
        <f>Inputs!$B$53*Inputs!$B$44</f>
        <v>300</v>
      </c>
      <c r="J29" s="5">
        <f>Inputs!$B$53*Inputs!$B$44</f>
        <v>300</v>
      </c>
      <c r="K29" s="5">
        <f>Inputs!$B$53*Inputs!$B$44</f>
        <v>300</v>
      </c>
      <c r="L29" s="5">
        <f>Inputs!$B$53*Inputs!$B$44</f>
        <v>300</v>
      </c>
      <c r="M29" s="5">
        <f>Inputs!$B$53*Inputs!$B$44</f>
        <v>300</v>
      </c>
      <c r="N29" s="5">
        <f>Inputs!$B$53*Inputs!$B$44</f>
        <v>300</v>
      </c>
      <c r="O29" s="5">
        <f>Inputs!$B$53*Inputs!$B$44</f>
        <v>300</v>
      </c>
      <c r="P29" s="5">
        <f>Inputs!$B$53*Inputs!$B$44</f>
        <v>300</v>
      </c>
      <c r="Q29" s="5">
        <f>Inputs!$B$53*Inputs!$B$44</f>
        <v>300</v>
      </c>
      <c r="R29" s="5">
        <f>Inputs!$B$53*Inputs!$B$44</f>
        <v>300</v>
      </c>
      <c r="S29" s="5">
        <f>Inputs!$B$53*Inputs!$B$44</f>
        <v>300</v>
      </c>
      <c r="T29" s="5">
        <f>Inputs!$B$53*Inputs!$B$44</f>
        <v>300</v>
      </c>
      <c r="U29" s="5">
        <f>Inputs!$B$53*Inputs!$B$44</f>
        <v>300</v>
      </c>
      <c r="V29" s="5">
        <f>Inputs!$B$53*Inputs!$B$44</f>
        <v>300</v>
      </c>
      <c r="W29" s="5">
        <f>Inputs!$B$53*Inputs!$B$44</f>
        <v>300</v>
      </c>
      <c r="X29" s="5">
        <f>Inputs!$B$53*Inputs!$B$44</f>
        <v>300</v>
      </c>
      <c r="Y29" s="5">
        <f>Inputs!$B$53*Inputs!$B$44</f>
        <v>300</v>
      </c>
      <c r="Z29" s="5">
        <f>Inputs!$B$53*Inputs!$B$44</f>
        <v>300</v>
      </c>
      <c r="AA29" s="5">
        <f>Inputs!$B$53*Inputs!$B$44</f>
        <v>300</v>
      </c>
      <c r="AB29" s="5">
        <f>Inputs!$B$53*Inputs!$B$44</f>
        <v>300</v>
      </c>
      <c r="AC29" s="5">
        <f>Inputs!$B$53*Inputs!$B$44</f>
        <v>300</v>
      </c>
      <c r="AD29" s="5">
        <f>Inputs!$B$53*Inputs!$B$44</f>
        <v>300</v>
      </c>
      <c r="AE29" s="5">
        <f>Inputs!$B$53*Inputs!$B$44</f>
        <v>300</v>
      </c>
      <c r="AF29" s="5">
        <f>Inputs!$B$53*Inputs!$B$44</f>
        <v>300</v>
      </c>
      <c r="AG29" s="5">
        <f>Inputs!$B$53*Inputs!$B$44</f>
        <v>300</v>
      </c>
      <c r="AH29" s="5">
        <f>Inputs!$B$53*Inputs!$B$44</f>
        <v>300</v>
      </c>
      <c r="AI29" s="5">
        <f>Inputs!$B$53*Inputs!$B$44</f>
        <v>300</v>
      </c>
      <c r="AJ29" s="5">
        <f>Inputs!$B$53*Inputs!$B$44</f>
        <v>300</v>
      </c>
      <c r="AK29" s="5">
        <f>Inputs!$B$53*Inputs!$B$44</f>
        <v>300</v>
      </c>
    </row>
    <row r="30" spans="1:37" x14ac:dyDescent="0.25">
      <c r="A30" t="s">
        <v>156</v>
      </c>
      <c r="B30" s="5"/>
      <c r="C30" s="5"/>
      <c r="D30" s="5"/>
      <c r="E30" s="5"/>
      <c r="F30" s="5">
        <v>350</v>
      </c>
      <c r="G30" s="5">
        <v>350</v>
      </c>
      <c r="H30" s="5">
        <v>350</v>
      </c>
      <c r="I30" s="5">
        <v>350</v>
      </c>
      <c r="J30" s="5">
        <v>350</v>
      </c>
      <c r="K30" s="5">
        <v>350</v>
      </c>
      <c r="L30" s="5">
        <v>350</v>
      </c>
      <c r="M30" s="5">
        <v>350</v>
      </c>
      <c r="N30" s="5">
        <v>350</v>
      </c>
      <c r="O30" s="5">
        <v>350</v>
      </c>
      <c r="P30" s="5">
        <v>350</v>
      </c>
      <c r="Q30" s="5">
        <v>350</v>
      </c>
      <c r="R30" s="5">
        <v>350</v>
      </c>
      <c r="S30" s="5">
        <v>350</v>
      </c>
      <c r="T30" s="5">
        <v>350</v>
      </c>
      <c r="U30" s="5">
        <v>350</v>
      </c>
      <c r="V30" s="5">
        <v>350</v>
      </c>
      <c r="W30" s="5">
        <v>350</v>
      </c>
      <c r="X30" s="5">
        <v>350</v>
      </c>
      <c r="Y30" s="5">
        <v>350</v>
      </c>
      <c r="Z30" s="5">
        <v>350</v>
      </c>
      <c r="AA30" s="5">
        <v>350</v>
      </c>
      <c r="AB30" s="5">
        <v>350</v>
      </c>
      <c r="AC30" s="5">
        <v>350</v>
      </c>
      <c r="AD30" s="5">
        <v>350</v>
      </c>
      <c r="AE30" s="5">
        <v>350</v>
      </c>
      <c r="AF30" s="5">
        <v>350</v>
      </c>
      <c r="AG30" s="5">
        <v>350</v>
      </c>
      <c r="AH30" s="5">
        <v>350</v>
      </c>
      <c r="AI30" s="5">
        <v>350</v>
      </c>
      <c r="AJ30" s="5">
        <v>350</v>
      </c>
      <c r="AK30" s="5">
        <v>350</v>
      </c>
    </row>
    <row r="31" spans="1:37" x14ac:dyDescent="0.25">
      <c r="A31" t="s">
        <v>6</v>
      </c>
      <c r="B31" s="5"/>
      <c r="C31" s="5"/>
      <c r="D31" s="5"/>
      <c r="E31" s="5"/>
      <c r="F31" s="5">
        <v>1000</v>
      </c>
      <c r="G31" s="5">
        <v>1000</v>
      </c>
      <c r="H31" s="5">
        <v>1000</v>
      </c>
      <c r="I31" s="5">
        <v>1000</v>
      </c>
      <c r="J31" s="5">
        <v>1000</v>
      </c>
      <c r="K31" s="5">
        <v>1000</v>
      </c>
      <c r="L31" s="5">
        <v>1000</v>
      </c>
      <c r="M31" s="5">
        <v>1000</v>
      </c>
      <c r="N31" s="5">
        <v>1000</v>
      </c>
      <c r="O31" s="5">
        <v>1000</v>
      </c>
      <c r="P31" s="5">
        <v>1000</v>
      </c>
      <c r="Q31" s="5">
        <v>1000</v>
      </c>
      <c r="R31" s="5">
        <v>1000</v>
      </c>
      <c r="S31" s="5">
        <v>1000</v>
      </c>
      <c r="T31" s="5">
        <v>1000</v>
      </c>
      <c r="U31" s="5">
        <v>1000</v>
      </c>
      <c r="V31" s="5">
        <v>1000</v>
      </c>
      <c r="W31" s="5">
        <v>1000</v>
      </c>
      <c r="X31" s="5">
        <v>1000</v>
      </c>
      <c r="Y31" s="5">
        <v>1000</v>
      </c>
      <c r="Z31" s="5">
        <v>1000</v>
      </c>
      <c r="AA31" s="5">
        <v>1000</v>
      </c>
      <c r="AB31" s="5">
        <v>1000</v>
      </c>
      <c r="AC31" s="5">
        <v>1000</v>
      </c>
      <c r="AD31" s="5">
        <v>1000</v>
      </c>
      <c r="AE31" s="5">
        <v>1000</v>
      </c>
      <c r="AF31" s="5">
        <v>1000</v>
      </c>
      <c r="AG31" s="5">
        <v>1000</v>
      </c>
      <c r="AH31" s="5">
        <v>1000</v>
      </c>
      <c r="AI31" s="5">
        <v>1000</v>
      </c>
      <c r="AJ31" s="5">
        <v>1000</v>
      </c>
      <c r="AK31" s="5">
        <v>1000</v>
      </c>
    </row>
    <row r="32" spans="1:37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x14ac:dyDescent="0.25">
      <c r="A34" t="s">
        <v>34</v>
      </c>
      <c r="B34" s="5">
        <f>Inputs!$B$39</f>
        <v>500</v>
      </c>
      <c r="C34" s="5">
        <f>Inputs!$B$39</f>
        <v>500</v>
      </c>
      <c r="D34" s="5">
        <f>Inputs!$B$39</f>
        <v>500</v>
      </c>
      <c r="E34" s="5">
        <f>Inputs!$B$39</f>
        <v>500</v>
      </c>
      <c r="F34" s="5">
        <f>Inputs!$B$39</f>
        <v>500</v>
      </c>
      <c r="G34" s="5">
        <f>Inputs!$B$39</f>
        <v>500</v>
      </c>
      <c r="H34" s="5">
        <f>Inputs!$B$39</f>
        <v>500</v>
      </c>
      <c r="I34" s="5">
        <f>Inputs!$B$39</f>
        <v>500</v>
      </c>
      <c r="J34" s="5">
        <f>Inputs!$B$39</f>
        <v>500</v>
      </c>
      <c r="K34" s="5">
        <f>Inputs!$B$39</f>
        <v>500</v>
      </c>
      <c r="L34" s="5">
        <f>Inputs!$B$39</f>
        <v>500</v>
      </c>
      <c r="M34" s="5">
        <f>Inputs!$B$39</f>
        <v>500</v>
      </c>
      <c r="N34" s="5">
        <f>Inputs!$B$39</f>
        <v>500</v>
      </c>
      <c r="O34" s="5">
        <f>Inputs!$B$39</f>
        <v>500</v>
      </c>
      <c r="P34" s="5">
        <f>Inputs!$B$39</f>
        <v>500</v>
      </c>
      <c r="Q34" s="5">
        <f>Inputs!$B$39</f>
        <v>500</v>
      </c>
      <c r="R34" s="5">
        <f>Inputs!$B$39</f>
        <v>500</v>
      </c>
      <c r="S34" s="5">
        <f>Inputs!$B$39</f>
        <v>500</v>
      </c>
      <c r="T34" s="5">
        <f>Inputs!$B$39</f>
        <v>500</v>
      </c>
      <c r="U34" s="5">
        <f>Inputs!$B$39</f>
        <v>500</v>
      </c>
      <c r="V34" s="5">
        <f>Inputs!$B$39</f>
        <v>500</v>
      </c>
      <c r="W34" s="5">
        <f>Inputs!$B$39</f>
        <v>500</v>
      </c>
      <c r="X34" s="5">
        <f>Inputs!$B$39</f>
        <v>500</v>
      </c>
      <c r="Y34" s="5">
        <f>Inputs!$B$39</f>
        <v>500</v>
      </c>
      <c r="Z34" s="5">
        <f>Inputs!$B$39</f>
        <v>500</v>
      </c>
      <c r="AA34" s="5">
        <f>Inputs!$B$39</f>
        <v>500</v>
      </c>
      <c r="AB34" s="5">
        <f>Inputs!$B$39</f>
        <v>500</v>
      </c>
      <c r="AC34" s="5">
        <f>Inputs!$B$39</f>
        <v>500</v>
      </c>
      <c r="AD34" s="5">
        <f>Inputs!$B$39</f>
        <v>500</v>
      </c>
      <c r="AE34" s="5">
        <f>Inputs!$B$39</f>
        <v>500</v>
      </c>
      <c r="AF34" s="5">
        <f>Inputs!$B$39</f>
        <v>500</v>
      </c>
      <c r="AG34" s="5">
        <f>Inputs!$B$39</f>
        <v>500</v>
      </c>
      <c r="AH34" s="5">
        <f>Inputs!$B$39</f>
        <v>500</v>
      </c>
      <c r="AI34" s="5">
        <f>Inputs!$B$39</f>
        <v>500</v>
      </c>
      <c r="AJ34" s="5">
        <f>Inputs!$B$39</f>
        <v>500</v>
      </c>
      <c r="AK34" s="5">
        <f>Inputs!$B$39</f>
        <v>500</v>
      </c>
    </row>
    <row r="35" spans="1:37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37" x14ac:dyDescent="0.25">
      <c r="A36" t="s">
        <v>17</v>
      </c>
      <c r="B36" s="5">
        <f t="shared" ref="B36:Y36" si="0">SUM(B25:B31,B20:B22,B13:B17,B34)</f>
        <v>7386.9666666666672</v>
      </c>
      <c r="C36" s="5">
        <f t="shared" si="0"/>
        <v>7386.9666666666672</v>
      </c>
      <c r="D36" s="5">
        <f t="shared" si="0"/>
        <v>29886.966666666667</v>
      </c>
      <c r="E36" s="5">
        <f>SUM(E25:E31,E20:E22,E13:E17,E34)</f>
        <v>35326.966666666667</v>
      </c>
      <c r="F36" s="5">
        <f t="shared" si="0"/>
        <v>26105.766666666663</v>
      </c>
      <c r="G36" s="5">
        <f t="shared" si="0"/>
        <v>26105.766666666663</v>
      </c>
      <c r="H36" s="5">
        <f t="shared" si="0"/>
        <v>26105.766666666663</v>
      </c>
      <c r="I36" s="5">
        <f t="shared" si="0"/>
        <v>26105.766666666663</v>
      </c>
      <c r="J36" s="5">
        <f t="shared" si="0"/>
        <v>26105.766666666663</v>
      </c>
      <c r="K36" s="5">
        <f t="shared" si="0"/>
        <v>26105.766666666663</v>
      </c>
      <c r="L36" s="5">
        <f t="shared" si="0"/>
        <v>26105.766666666663</v>
      </c>
      <c r="M36" s="5">
        <f t="shared" si="0"/>
        <v>26105.766666666663</v>
      </c>
      <c r="N36" s="5">
        <f t="shared" si="0"/>
        <v>26325.766666666663</v>
      </c>
      <c r="O36" s="5">
        <f t="shared" si="0"/>
        <v>26105.766666666663</v>
      </c>
      <c r="P36" s="5">
        <f t="shared" si="0"/>
        <v>26105.766666666663</v>
      </c>
      <c r="Q36" s="5">
        <f t="shared" si="0"/>
        <v>26105.766666666663</v>
      </c>
      <c r="R36" s="5">
        <f t="shared" si="0"/>
        <v>26105.766666666663</v>
      </c>
      <c r="S36" s="5">
        <f t="shared" si="0"/>
        <v>26105.766666666663</v>
      </c>
      <c r="T36" s="5">
        <f t="shared" si="0"/>
        <v>26105.766666666663</v>
      </c>
      <c r="U36" s="5">
        <f t="shared" si="0"/>
        <v>26105.766666666663</v>
      </c>
      <c r="V36" s="5">
        <f t="shared" si="0"/>
        <v>26105.766666666663</v>
      </c>
      <c r="W36" s="5">
        <f t="shared" si="0"/>
        <v>26105.766666666663</v>
      </c>
      <c r="X36" s="5">
        <f t="shared" si="0"/>
        <v>26105.766666666663</v>
      </c>
      <c r="Y36" s="5">
        <f t="shared" si="0"/>
        <v>26105.766666666663</v>
      </c>
      <c r="Z36" s="5">
        <f t="shared" ref="Z36:AK36" si="1">SUM(Z25:Z31,Z20:Z22,Z13:Z17,Z34)</f>
        <v>26325.766666666663</v>
      </c>
      <c r="AA36" s="5">
        <f t="shared" si="1"/>
        <v>26105.766666666663</v>
      </c>
      <c r="AB36" s="5">
        <f t="shared" si="1"/>
        <v>26105.766666666663</v>
      </c>
      <c r="AC36" s="5">
        <f t="shared" si="1"/>
        <v>26105.766666666663</v>
      </c>
      <c r="AD36" s="5">
        <f t="shared" si="1"/>
        <v>26105.766666666663</v>
      </c>
      <c r="AE36" s="5">
        <f t="shared" si="1"/>
        <v>26105.766666666663</v>
      </c>
      <c r="AF36" s="5">
        <f t="shared" si="1"/>
        <v>26105.766666666663</v>
      </c>
      <c r="AG36" s="5">
        <f t="shared" si="1"/>
        <v>26105.766666666663</v>
      </c>
      <c r="AH36" s="5">
        <f t="shared" si="1"/>
        <v>26105.766666666663</v>
      </c>
      <c r="AI36" s="5">
        <f t="shared" si="1"/>
        <v>26105.766666666663</v>
      </c>
      <c r="AJ36" s="5">
        <f t="shared" si="1"/>
        <v>26105.766666666663</v>
      </c>
      <c r="AK36" s="5">
        <f t="shared" si="1"/>
        <v>26105.766666666663</v>
      </c>
    </row>
    <row r="37" spans="1:37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37" x14ac:dyDescent="0.25">
      <c r="A38" t="s">
        <v>157</v>
      </c>
      <c r="B38" s="5">
        <f t="shared" ref="B38:AK38" si="2">B6-B36</f>
        <v>-7386.9666666666672</v>
      </c>
      <c r="C38" s="5">
        <f t="shared" si="2"/>
        <v>-7386.9666666666672</v>
      </c>
      <c r="D38" s="5">
        <f t="shared" si="2"/>
        <v>-29886.966666666667</v>
      </c>
      <c r="E38" s="5">
        <f t="shared" si="2"/>
        <v>-35326.966666666667</v>
      </c>
      <c r="F38" s="5">
        <f t="shared" si="2"/>
        <v>-2705.7666666666628</v>
      </c>
      <c r="G38" s="5">
        <f t="shared" si="2"/>
        <v>20694.233333333337</v>
      </c>
      <c r="H38" s="5">
        <f t="shared" si="2"/>
        <v>44094.233333333337</v>
      </c>
      <c r="I38" s="5">
        <f t="shared" si="2"/>
        <v>67494.233333333337</v>
      </c>
      <c r="J38" s="5">
        <f t="shared" si="2"/>
        <v>67494.233333333337</v>
      </c>
      <c r="K38" s="5">
        <f t="shared" si="2"/>
        <v>67494.233333333337</v>
      </c>
      <c r="L38" s="5">
        <f t="shared" si="2"/>
        <v>67494.233333333337</v>
      </c>
      <c r="M38" s="5">
        <f t="shared" si="2"/>
        <v>67494.233333333337</v>
      </c>
      <c r="N38" s="5">
        <f t="shared" si="2"/>
        <v>67274.233333333337</v>
      </c>
      <c r="O38" s="5">
        <f t="shared" si="2"/>
        <v>67494.233333333337</v>
      </c>
      <c r="P38" s="5">
        <f t="shared" si="2"/>
        <v>67494.233333333337</v>
      </c>
      <c r="Q38" s="5">
        <f t="shared" si="2"/>
        <v>67494.233333333337</v>
      </c>
      <c r="R38" s="5">
        <f t="shared" si="2"/>
        <v>67494.233333333337</v>
      </c>
      <c r="S38" s="5">
        <f t="shared" si="2"/>
        <v>67494.233333333337</v>
      </c>
      <c r="T38" s="5">
        <f t="shared" si="2"/>
        <v>67494.233333333337</v>
      </c>
      <c r="U38" s="5">
        <f t="shared" si="2"/>
        <v>67494.233333333337</v>
      </c>
      <c r="V38" s="5">
        <f t="shared" si="2"/>
        <v>67494.233333333337</v>
      </c>
      <c r="W38" s="5">
        <f t="shared" si="2"/>
        <v>67494.233333333337</v>
      </c>
      <c r="X38" s="5">
        <f t="shared" si="2"/>
        <v>67494.233333333337</v>
      </c>
      <c r="Y38" s="5">
        <f t="shared" si="2"/>
        <v>67494.233333333337</v>
      </c>
      <c r="Z38" s="5">
        <f t="shared" si="2"/>
        <v>67274.233333333337</v>
      </c>
      <c r="AA38" s="5">
        <f t="shared" si="2"/>
        <v>67494.233333333337</v>
      </c>
      <c r="AB38" s="5">
        <f t="shared" si="2"/>
        <v>67494.233333333337</v>
      </c>
      <c r="AC38" s="5">
        <f t="shared" si="2"/>
        <v>67494.233333333337</v>
      </c>
      <c r="AD38" s="5">
        <f t="shared" si="2"/>
        <v>67494.233333333337</v>
      </c>
      <c r="AE38" s="5">
        <f t="shared" si="2"/>
        <v>67494.233333333337</v>
      </c>
      <c r="AF38" s="5">
        <f t="shared" si="2"/>
        <v>67494.233333333337</v>
      </c>
      <c r="AG38" s="5">
        <f t="shared" si="2"/>
        <v>67494.233333333337</v>
      </c>
      <c r="AH38" s="5">
        <f t="shared" si="2"/>
        <v>67494.233333333337</v>
      </c>
      <c r="AI38" s="5">
        <f t="shared" si="2"/>
        <v>67494.233333333337</v>
      </c>
      <c r="AJ38" s="5">
        <f t="shared" si="2"/>
        <v>67494.233333333337</v>
      </c>
      <c r="AK38" s="5">
        <f t="shared" si="2"/>
        <v>67494.233333333337</v>
      </c>
    </row>
    <row r="39" spans="1:37" x14ac:dyDescent="0.25">
      <c r="A39" t="s">
        <v>188</v>
      </c>
      <c r="B39" s="5">
        <f>B38</f>
        <v>-7386.9666666666672</v>
      </c>
      <c r="C39" s="5">
        <f>C38+B39</f>
        <v>-14773.933333333334</v>
      </c>
      <c r="D39" s="5">
        <f t="shared" ref="D39:AK39" si="3">D38+C39</f>
        <v>-44660.9</v>
      </c>
      <c r="E39" s="5">
        <f t="shared" si="3"/>
        <v>-79987.866666666669</v>
      </c>
      <c r="F39" s="5">
        <f t="shared" si="3"/>
        <v>-82693.633333333331</v>
      </c>
      <c r="G39" s="5">
        <f t="shared" si="3"/>
        <v>-61999.399999999994</v>
      </c>
      <c r="H39" s="5">
        <f t="shared" si="3"/>
        <v>-17905.166666666657</v>
      </c>
      <c r="I39" s="5">
        <f t="shared" si="3"/>
        <v>49589.06666666668</v>
      </c>
      <c r="J39" s="5">
        <f t="shared" si="3"/>
        <v>117083.30000000002</v>
      </c>
      <c r="K39" s="5">
        <f t="shared" si="3"/>
        <v>184577.53333333335</v>
      </c>
      <c r="L39" s="5">
        <f t="shared" si="3"/>
        <v>252071.76666666669</v>
      </c>
      <c r="M39" s="5">
        <f t="shared" si="3"/>
        <v>319566</v>
      </c>
      <c r="N39" s="5">
        <f t="shared" si="3"/>
        <v>386840.23333333334</v>
      </c>
      <c r="O39" s="5">
        <f t="shared" si="3"/>
        <v>454334.46666666667</v>
      </c>
      <c r="P39" s="5">
        <f t="shared" si="3"/>
        <v>521828.7</v>
      </c>
      <c r="Q39" s="5">
        <f t="shared" si="3"/>
        <v>589322.93333333335</v>
      </c>
      <c r="R39" s="5">
        <f t="shared" si="3"/>
        <v>656817.16666666674</v>
      </c>
      <c r="S39" s="5">
        <f t="shared" si="3"/>
        <v>724311.40000000014</v>
      </c>
      <c r="T39" s="5">
        <f t="shared" si="3"/>
        <v>791805.63333333354</v>
      </c>
      <c r="U39" s="5">
        <f t="shared" si="3"/>
        <v>859299.86666666693</v>
      </c>
      <c r="V39" s="5">
        <f t="shared" si="3"/>
        <v>926794.10000000033</v>
      </c>
      <c r="W39" s="5">
        <f t="shared" si="3"/>
        <v>994288.33333333372</v>
      </c>
      <c r="X39" s="5">
        <f t="shared" si="3"/>
        <v>1061782.5666666671</v>
      </c>
      <c r="Y39" s="5">
        <f t="shared" si="3"/>
        <v>1129276.8000000005</v>
      </c>
      <c r="Z39" s="5">
        <f t="shared" si="3"/>
        <v>1196551.0333333339</v>
      </c>
      <c r="AA39" s="5">
        <f t="shared" si="3"/>
        <v>1264045.2666666673</v>
      </c>
      <c r="AB39" s="5">
        <f t="shared" si="3"/>
        <v>1331539.5000000007</v>
      </c>
      <c r="AC39" s="5">
        <f t="shared" si="3"/>
        <v>1399033.7333333341</v>
      </c>
      <c r="AD39" s="5">
        <f t="shared" si="3"/>
        <v>1466527.9666666675</v>
      </c>
      <c r="AE39" s="5">
        <f t="shared" si="3"/>
        <v>1534022.2000000009</v>
      </c>
      <c r="AF39" s="5">
        <f t="shared" si="3"/>
        <v>1601516.4333333343</v>
      </c>
      <c r="AG39" s="5">
        <f t="shared" si="3"/>
        <v>1669010.6666666677</v>
      </c>
      <c r="AH39" s="5">
        <f t="shared" si="3"/>
        <v>1736504.9000000011</v>
      </c>
      <c r="AI39" s="5">
        <f t="shared" si="3"/>
        <v>1803999.1333333345</v>
      </c>
      <c r="AJ39" s="5">
        <f t="shared" si="3"/>
        <v>1871493.3666666679</v>
      </c>
      <c r="AK39" s="5">
        <f t="shared" si="3"/>
        <v>1938987.6000000013</v>
      </c>
    </row>
    <row r="40" spans="1:37" x14ac:dyDescent="0.25">
      <c r="A40" t="s">
        <v>61</v>
      </c>
      <c r="B40" s="5">
        <f>SUM(B38:E38)</f>
        <v>-79987.866666666669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37" x14ac:dyDescent="0.25">
      <c r="A41" t="s">
        <v>62</v>
      </c>
      <c r="B41" t="s">
        <v>72</v>
      </c>
    </row>
    <row r="42" spans="1:37" x14ac:dyDescent="0.25">
      <c r="A42" t="s">
        <v>64</v>
      </c>
      <c r="B42" s="2">
        <f>IRR(B38:AK38)</f>
        <v>0.34691486223105317</v>
      </c>
    </row>
    <row r="44" spans="1:37" x14ac:dyDescent="0.25">
      <c r="A44" t="s">
        <v>32</v>
      </c>
      <c r="B44" t="s">
        <v>33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opLeftCell="U7" workbookViewId="0">
      <selection activeCell="E36" sqref="E36"/>
    </sheetView>
  </sheetViews>
  <sheetFormatPr defaultRowHeight="15" x14ac:dyDescent="0.25"/>
  <cols>
    <col min="1" max="1" width="20.85546875" bestFit="1" customWidth="1"/>
    <col min="2" max="2" width="13.5703125" bestFit="1" customWidth="1"/>
    <col min="3" max="4" width="11.7109375" bestFit="1" customWidth="1"/>
    <col min="5" max="5" width="14.42578125" bestFit="1" customWidth="1"/>
    <col min="6" max="6" width="10.5703125" bestFit="1" customWidth="1"/>
    <col min="7" max="7" width="11.7109375" bestFit="1" customWidth="1"/>
    <col min="8" max="25" width="10.5703125" bestFit="1" customWidth="1"/>
    <col min="26" max="26" width="11.7109375" bestFit="1" customWidth="1"/>
    <col min="27" max="27" width="10" bestFit="1" customWidth="1"/>
    <col min="28" max="28" width="11.5703125" bestFit="1" customWidth="1"/>
    <col min="29" max="35" width="10" bestFit="1" customWidth="1"/>
    <col min="36" max="37" width="9.7109375" bestFit="1" customWidth="1"/>
    <col min="38" max="38" width="11.5703125" bestFit="1" customWidth="1"/>
  </cols>
  <sheetData>
    <row r="1" spans="1:38" x14ac:dyDescent="0.25">
      <c r="A1" s="1" t="s">
        <v>170</v>
      </c>
    </row>
    <row r="2" spans="1:38" x14ac:dyDescent="0.25">
      <c r="B2" t="s">
        <v>160</v>
      </c>
      <c r="C2" s="33">
        <v>40878</v>
      </c>
      <c r="E2" s="33">
        <v>41974</v>
      </c>
    </row>
    <row r="3" spans="1:38" x14ac:dyDescent="0.25">
      <c r="A3" t="s">
        <v>163</v>
      </c>
      <c r="B3" s="5">
        <v>20000</v>
      </c>
      <c r="C3" s="29">
        <f>B3</f>
        <v>20000</v>
      </c>
      <c r="D3" s="34">
        <f>C3/$C$36</f>
        <v>4.1688750124024024E-2</v>
      </c>
      <c r="E3" s="29">
        <f>D3*$E$6</f>
        <v>178162.12643753228</v>
      </c>
    </row>
    <row r="4" spans="1:38" x14ac:dyDescent="0.25">
      <c r="A4" t="s">
        <v>164</v>
      </c>
      <c r="C4" s="5">
        <f>-'Office P&amp;L'!$B$62/2</f>
        <v>229872.8666666667</v>
      </c>
      <c r="D4" s="34">
        <f>C4/$C$36</f>
        <v>0.47915562493798797</v>
      </c>
      <c r="E4" s="29">
        <f>D4*$E$6</f>
        <v>2047731.9367812339</v>
      </c>
    </row>
    <row r="5" spans="1:38" x14ac:dyDescent="0.25">
      <c r="A5" t="s">
        <v>161</v>
      </c>
      <c r="B5" s="5"/>
      <c r="C5" s="5">
        <f>-'Office P&amp;L'!$B$62/2</f>
        <v>229872.8666666667</v>
      </c>
      <c r="D5" s="34">
        <f>C5/$C$36</f>
        <v>0.47915562493798797</v>
      </c>
      <c r="E5" s="29">
        <f>D5*$E$6</f>
        <v>2047731.9367812339</v>
      </c>
    </row>
    <row r="6" spans="1:38" x14ac:dyDescent="0.25">
      <c r="A6" t="s">
        <v>162</v>
      </c>
      <c r="B6" s="5">
        <f>SUM(B3:B5)</f>
        <v>20000</v>
      </c>
      <c r="C6" s="5">
        <f>SUM(C3:C5)</f>
        <v>479745.7333333334</v>
      </c>
      <c r="D6" s="34">
        <f>C6/$C$36</f>
        <v>1</v>
      </c>
      <c r="E6" s="5">
        <f>'Office P&amp;L'!AK61</f>
        <v>4273626</v>
      </c>
    </row>
    <row r="7" spans="1:38" x14ac:dyDescent="0.25">
      <c r="B7" s="33">
        <v>40878</v>
      </c>
      <c r="C7" s="33">
        <v>40909</v>
      </c>
      <c r="D7" s="33">
        <v>40940</v>
      </c>
      <c r="E7" s="33">
        <v>40969</v>
      </c>
      <c r="F7" s="33">
        <v>41000</v>
      </c>
      <c r="G7" s="33">
        <v>41030</v>
      </c>
      <c r="H7" s="33">
        <v>41061</v>
      </c>
      <c r="I7" s="33">
        <v>41091</v>
      </c>
      <c r="J7" s="33">
        <v>41122</v>
      </c>
      <c r="K7" s="33">
        <v>41153</v>
      </c>
      <c r="L7" s="33">
        <v>41183</v>
      </c>
      <c r="M7" s="33">
        <v>41214</v>
      </c>
      <c r="N7" s="33">
        <v>41244</v>
      </c>
      <c r="O7" s="33">
        <v>41275</v>
      </c>
      <c r="P7" s="33">
        <v>41306</v>
      </c>
      <c r="Q7" s="33">
        <v>41334</v>
      </c>
      <c r="R7" s="33">
        <v>41365</v>
      </c>
      <c r="S7" s="33">
        <v>41395</v>
      </c>
      <c r="T7" s="33">
        <v>41426</v>
      </c>
      <c r="U7" s="33">
        <v>41456</v>
      </c>
      <c r="V7" s="33">
        <v>41487</v>
      </c>
      <c r="W7" s="33">
        <v>41518</v>
      </c>
      <c r="X7" s="33">
        <v>41548</v>
      </c>
      <c r="Y7" s="33">
        <v>41579</v>
      </c>
      <c r="Z7" s="33">
        <v>41609</v>
      </c>
      <c r="AA7" s="33">
        <v>41640</v>
      </c>
      <c r="AB7" s="33">
        <v>41671</v>
      </c>
      <c r="AC7" s="33">
        <v>41699</v>
      </c>
      <c r="AD7" s="33">
        <v>41730</v>
      </c>
      <c r="AE7" s="33">
        <v>41760</v>
      </c>
      <c r="AF7" s="33">
        <v>41791</v>
      </c>
      <c r="AG7" s="33">
        <v>41821</v>
      </c>
      <c r="AH7" s="33">
        <v>41852</v>
      </c>
      <c r="AI7" s="33">
        <v>41883</v>
      </c>
      <c r="AJ7" s="33">
        <v>41913</v>
      </c>
      <c r="AK7" s="33">
        <v>41944</v>
      </c>
      <c r="AL7" s="33"/>
    </row>
    <row r="8" spans="1:38" x14ac:dyDescent="0.25">
      <c r="A8" t="s">
        <v>174</v>
      </c>
      <c r="B8" s="5">
        <f>'Office P&amp;L'!$B$60</f>
        <v>-34826.433333333334</v>
      </c>
      <c r="C8" s="5">
        <f>'Office P&amp;L'!C60</f>
        <v>-34826.433333333334</v>
      </c>
      <c r="D8" s="5">
        <f>'Office P&amp;L'!D60</f>
        <v>-147326.43333333335</v>
      </c>
      <c r="E8" s="5">
        <f>'Office P&amp;L'!E60</f>
        <v>-242766.43333333335</v>
      </c>
      <c r="F8" s="5">
        <f>'Office P&amp;L'!F60</f>
        <v>7424.3666666666722</v>
      </c>
      <c r="G8" s="5">
        <f>'Office P&amp;L'!G60</f>
        <v>52820.366666666669</v>
      </c>
      <c r="H8" s="5">
        <f>'Office P&amp;L'!H60</f>
        <v>98216.366666666669</v>
      </c>
      <c r="I8" s="5">
        <f>'Office P&amp;L'!I60</f>
        <v>143612.36666666667</v>
      </c>
      <c r="J8" s="5">
        <f>'Office P&amp;L'!J60</f>
        <v>158276.36666666667</v>
      </c>
      <c r="K8" s="5">
        <f>'Office P&amp;L'!K60</f>
        <v>158276.36666666667</v>
      </c>
      <c r="L8" s="5">
        <f>'Office P&amp;L'!L60</f>
        <v>158276.36666666667</v>
      </c>
      <c r="M8" s="5">
        <f>'Office P&amp;L'!M60</f>
        <v>158276.36666666667</v>
      </c>
      <c r="N8" s="5">
        <f>'Office P&amp;L'!N60</f>
        <v>158056.36666666667</v>
      </c>
      <c r="O8" s="5">
        <f>'Office P&amp;L'!O60</f>
        <v>158276.36666666667</v>
      </c>
      <c r="P8" s="5">
        <f>'Office P&amp;L'!P60</f>
        <v>158276.36666666667</v>
      </c>
      <c r="Q8" s="5">
        <f>'Office P&amp;L'!Q60</f>
        <v>158276.36666666667</v>
      </c>
      <c r="R8" s="5">
        <f>'Office P&amp;L'!R60</f>
        <v>158276.36666666667</v>
      </c>
      <c r="S8" s="5">
        <f>'Office P&amp;L'!S60</f>
        <v>158276.36666666667</v>
      </c>
      <c r="T8" s="5">
        <f>'Office P&amp;L'!T60</f>
        <v>158276.36666666667</v>
      </c>
      <c r="U8" s="5">
        <f>'Office P&amp;L'!U60</f>
        <v>158276.36666666667</v>
      </c>
      <c r="V8" s="5">
        <f>'Office P&amp;L'!V60</f>
        <v>158276.36666666667</v>
      </c>
      <c r="W8" s="5">
        <f>'Office P&amp;L'!W60</f>
        <v>158276.36666666667</v>
      </c>
      <c r="X8" s="5">
        <f>'Office P&amp;L'!X60</f>
        <v>158276.36666666667</v>
      </c>
      <c r="Y8" s="5">
        <f>'Office P&amp;L'!Y60</f>
        <v>158276.36666666667</v>
      </c>
      <c r="Z8" s="5">
        <f>'Office P&amp;L'!Z60</f>
        <v>158056.36666666667</v>
      </c>
      <c r="AA8" s="5">
        <f>'Office P&amp;L'!AA60</f>
        <v>158276.36666666667</v>
      </c>
      <c r="AB8" s="5">
        <f>'Office P&amp;L'!AB60</f>
        <v>158276.36666666667</v>
      </c>
      <c r="AC8" s="5">
        <f>'Office P&amp;L'!AC60</f>
        <v>158276.36666666667</v>
      </c>
      <c r="AD8" s="5">
        <f>'Office P&amp;L'!AD60</f>
        <v>158276.36666666667</v>
      </c>
      <c r="AE8" s="5">
        <f>'Office P&amp;L'!AE60</f>
        <v>158276.36666666667</v>
      </c>
      <c r="AF8" s="5">
        <f>'Office P&amp;L'!AF60</f>
        <v>158276.36666666667</v>
      </c>
      <c r="AG8" s="5">
        <f>'Office P&amp;L'!AG60</f>
        <v>158276.36666666667</v>
      </c>
      <c r="AH8" s="5">
        <f>'Office P&amp;L'!AH60</f>
        <v>158276.36666666667</v>
      </c>
      <c r="AI8" s="5">
        <f>'Office P&amp;L'!AI60</f>
        <v>158276.36666666667</v>
      </c>
      <c r="AJ8" s="5">
        <f>'Office P&amp;L'!AJ60</f>
        <v>158276.36666666667</v>
      </c>
      <c r="AK8" s="5">
        <f>'Office P&amp;L'!AK60</f>
        <v>158276.36666666667</v>
      </c>
      <c r="AL8" s="5"/>
    </row>
    <row r="9" spans="1:38" x14ac:dyDescent="0.25">
      <c r="A9" t="s">
        <v>180</v>
      </c>
      <c r="B9" s="5">
        <f>B8*(1-Inputs!$B$56)</f>
        <v>-23333.710333333333</v>
      </c>
      <c r="C9" s="5">
        <f>C8*(1-Inputs!$B$56)</f>
        <v>-23333.710333333333</v>
      </c>
      <c r="D9" s="5">
        <f>D8*(1-Inputs!$B$56)</f>
        <v>-98708.710333333336</v>
      </c>
      <c r="E9" s="5">
        <f>E8*(1-Inputs!$B$56)</f>
        <v>-162653.51033333334</v>
      </c>
      <c r="F9" s="5">
        <f>F8*(1-Inputs!$B$56)</f>
        <v>4974.3256666666703</v>
      </c>
      <c r="G9" s="5">
        <f>G8*(1-Inputs!$B$56)</f>
        <v>35389.645666666664</v>
      </c>
      <c r="H9" s="5">
        <f>H8*(1-Inputs!$B$56)</f>
        <v>65804.965666666656</v>
      </c>
      <c r="I9" s="5">
        <f>I8*(1-Inputs!$B$56)</f>
        <v>96220.285666666663</v>
      </c>
      <c r="J9" s="5">
        <f>J8*(1-Inputs!$B$56)</f>
        <v>106045.16566666665</v>
      </c>
      <c r="K9" s="5">
        <f>K8*(1-Inputs!$B$56)</f>
        <v>106045.16566666665</v>
      </c>
      <c r="L9" s="5">
        <f>L8*(1-Inputs!$B$56)</f>
        <v>106045.16566666665</v>
      </c>
      <c r="M9" s="5">
        <f>M8*(1-Inputs!$B$56)</f>
        <v>106045.16566666665</v>
      </c>
      <c r="N9" s="5">
        <f>N8*(1-Inputs!$B$56)</f>
        <v>105897.76566666666</v>
      </c>
      <c r="O9" s="5">
        <f>O8*(1-Inputs!$B$56)</f>
        <v>106045.16566666665</v>
      </c>
      <c r="P9" s="5">
        <f>P8*(1-Inputs!$B$56)</f>
        <v>106045.16566666665</v>
      </c>
      <c r="Q9" s="5">
        <f>Q8*(1-Inputs!$B$56)</f>
        <v>106045.16566666665</v>
      </c>
      <c r="R9" s="5">
        <f>R8*(1-Inputs!$B$56)</f>
        <v>106045.16566666665</v>
      </c>
      <c r="S9" s="5">
        <f>S8*(1-Inputs!$B$56)</f>
        <v>106045.16566666665</v>
      </c>
      <c r="T9" s="5">
        <f>T8*(1-Inputs!$B$56)</f>
        <v>106045.16566666665</v>
      </c>
      <c r="U9" s="5">
        <f>U8*(1-Inputs!$B$56)</f>
        <v>106045.16566666665</v>
      </c>
      <c r="V9" s="5">
        <f>V8*(1-Inputs!$B$56)</f>
        <v>106045.16566666665</v>
      </c>
      <c r="W9" s="5">
        <f>W8*(1-Inputs!$B$56)</f>
        <v>106045.16566666665</v>
      </c>
      <c r="X9" s="5">
        <f>X8*(1-Inputs!$B$56)</f>
        <v>106045.16566666665</v>
      </c>
      <c r="Y9" s="5">
        <f>Y8*(1-Inputs!$B$56)</f>
        <v>106045.16566666665</v>
      </c>
      <c r="Z9" s="5">
        <f>Z8*(1-Inputs!$B$56)</f>
        <v>105897.76566666666</v>
      </c>
      <c r="AA9" s="5">
        <f>AA8*(1-Inputs!$B$56)</f>
        <v>106045.16566666665</v>
      </c>
      <c r="AB9" s="5">
        <f>AB8*(1-Inputs!$B$56)</f>
        <v>106045.16566666665</v>
      </c>
      <c r="AC9" s="5">
        <f>AC8*(1-Inputs!$B$56)</f>
        <v>106045.16566666665</v>
      </c>
      <c r="AD9" s="5">
        <f>AD8*(1-Inputs!$B$56)</f>
        <v>106045.16566666665</v>
      </c>
      <c r="AE9" s="5">
        <f>AE8*(1-Inputs!$B$56)</f>
        <v>106045.16566666665</v>
      </c>
      <c r="AF9" s="5">
        <f>AF8*(1-Inputs!$B$56)</f>
        <v>106045.16566666665</v>
      </c>
      <c r="AG9" s="5">
        <f>AG8*(1-Inputs!$B$56)</f>
        <v>106045.16566666665</v>
      </c>
      <c r="AH9" s="5">
        <f>AH8*(1-Inputs!$B$56)</f>
        <v>106045.16566666665</v>
      </c>
      <c r="AI9" s="5">
        <f>AI8*(1-Inputs!$B$56)</f>
        <v>106045.16566666665</v>
      </c>
      <c r="AJ9" s="5">
        <f>AJ8*(1-Inputs!$B$56)</f>
        <v>106045.16566666665</v>
      </c>
      <c r="AK9" s="5">
        <f>AK8*(1-Inputs!$B$56)</f>
        <v>106045.16566666665</v>
      </c>
      <c r="AL9" s="5"/>
    </row>
    <row r="10" spans="1:38" x14ac:dyDescent="0.25">
      <c r="A10" t="s">
        <v>181</v>
      </c>
      <c r="B10" s="5">
        <f>B9*($D$3+$D$4)</f>
        <v>-12153.23177644301</v>
      </c>
      <c r="C10" s="5">
        <f t="shared" ref="C10:AK10" si="0">C9*($D$3+$D$4)</f>
        <v>-12153.23177644301</v>
      </c>
      <c r="D10" s="5">
        <f t="shared" si="0"/>
        <v>-51411.876546742169</v>
      </c>
      <c r="E10" s="5">
        <f t="shared" si="0"/>
        <v>-84717.16594120751</v>
      </c>
      <c r="F10" s="5">
        <f t="shared" si="0"/>
        <v>2590.849543209928</v>
      </c>
      <c r="G10" s="5">
        <f t="shared" si="0"/>
        <v>18432.497880921037</v>
      </c>
      <c r="H10" s="5">
        <f t="shared" si="0"/>
        <v>34274.146218632151</v>
      </c>
      <c r="I10" s="5">
        <f t="shared" si="0"/>
        <v>50115.794556343266</v>
      </c>
      <c r="J10" s="5">
        <f t="shared" si="0"/>
        <v>55233.028040002522</v>
      </c>
      <c r="K10" s="5">
        <f t="shared" si="0"/>
        <v>55233.028040002522</v>
      </c>
      <c r="L10" s="5">
        <f t="shared" si="0"/>
        <v>55233.028040002522</v>
      </c>
      <c r="M10" s="5">
        <f t="shared" si="0"/>
        <v>55233.028040002522</v>
      </c>
      <c r="N10" s="5">
        <f t="shared" si="0"/>
        <v>55156.255579118384</v>
      </c>
      <c r="O10" s="5">
        <f t="shared" si="0"/>
        <v>55233.028040002522</v>
      </c>
      <c r="P10" s="5">
        <f t="shared" si="0"/>
        <v>55233.028040002522</v>
      </c>
      <c r="Q10" s="5">
        <f t="shared" si="0"/>
        <v>55233.028040002522</v>
      </c>
      <c r="R10" s="5">
        <f t="shared" si="0"/>
        <v>55233.028040002522</v>
      </c>
      <c r="S10" s="5">
        <f t="shared" si="0"/>
        <v>55233.028040002522</v>
      </c>
      <c r="T10" s="5">
        <f t="shared" si="0"/>
        <v>55233.028040002522</v>
      </c>
      <c r="U10" s="5">
        <f t="shared" si="0"/>
        <v>55233.028040002522</v>
      </c>
      <c r="V10" s="5">
        <f t="shared" si="0"/>
        <v>55233.028040002522</v>
      </c>
      <c r="W10" s="5">
        <f t="shared" si="0"/>
        <v>55233.028040002522</v>
      </c>
      <c r="X10" s="5">
        <f t="shared" si="0"/>
        <v>55233.028040002522</v>
      </c>
      <c r="Y10" s="5">
        <f t="shared" si="0"/>
        <v>55233.028040002522</v>
      </c>
      <c r="Z10" s="5">
        <f t="shared" si="0"/>
        <v>55156.255579118384</v>
      </c>
      <c r="AA10" s="5">
        <f t="shared" si="0"/>
        <v>55233.028040002522</v>
      </c>
      <c r="AB10" s="5">
        <f t="shared" si="0"/>
        <v>55233.028040002522</v>
      </c>
      <c r="AC10" s="5">
        <f t="shared" si="0"/>
        <v>55233.028040002522</v>
      </c>
      <c r="AD10" s="5">
        <f t="shared" si="0"/>
        <v>55233.028040002522</v>
      </c>
      <c r="AE10" s="5">
        <f t="shared" si="0"/>
        <v>55233.028040002522</v>
      </c>
      <c r="AF10" s="5">
        <f t="shared" si="0"/>
        <v>55233.028040002522</v>
      </c>
      <c r="AG10" s="5">
        <f t="shared" si="0"/>
        <v>55233.028040002522</v>
      </c>
      <c r="AH10" s="5">
        <f t="shared" si="0"/>
        <v>55233.028040002522</v>
      </c>
      <c r="AI10" s="5">
        <f t="shared" si="0"/>
        <v>55233.028040002522</v>
      </c>
      <c r="AJ10" s="5">
        <f t="shared" si="0"/>
        <v>55233.028040002522</v>
      </c>
      <c r="AK10" s="5">
        <f t="shared" si="0"/>
        <v>55233.028040002522</v>
      </c>
    </row>
    <row r="11" spans="1:38" x14ac:dyDescent="0.25">
      <c r="A11" t="s">
        <v>182</v>
      </c>
      <c r="B11" s="29">
        <f>B9*$D$5</f>
        <v>-11180.478556890321</v>
      </c>
      <c r="C11" s="29">
        <f t="shared" ref="C11:AK11" si="1">C9*$D$5</f>
        <v>-11180.478556890321</v>
      </c>
      <c r="D11" s="29">
        <f t="shared" si="1"/>
        <v>-47296.833786591167</v>
      </c>
      <c r="E11" s="29">
        <f t="shared" si="1"/>
        <v>-77936.344392125815</v>
      </c>
      <c r="F11" s="29">
        <f t="shared" si="1"/>
        <v>2383.4761234567418</v>
      </c>
      <c r="G11" s="29">
        <f t="shared" si="1"/>
        <v>16957.147785745623</v>
      </c>
      <c r="H11" s="29">
        <f t="shared" si="1"/>
        <v>31530.819448034505</v>
      </c>
      <c r="I11" s="29">
        <f t="shared" si="1"/>
        <v>46104.49111032339</v>
      </c>
      <c r="J11" s="29">
        <f t="shared" si="1"/>
        <v>50812.137626664124</v>
      </c>
      <c r="K11" s="29">
        <f t="shared" si="1"/>
        <v>50812.137626664124</v>
      </c>
      <c r="L11" s="29">
        <f t="shared" si="1"/>
        <v>50812.137626664124</v>
      </c>
      <c r="M11" s="29">
        <f t="shared" si="1"/>
        <v>50812.137626664124</v>
      </c>
      <c r="N11" s="29">
        <f t="shared" si="1"/>
        <v>50741.510087548268</v>
      </c>
      <c r="O11" s="29">
        <f t="shared" si="1"/>
        <v>50812.137626664124</v>
      </c>
      <c r="P11" s="29">
        <f t="shared" si="1"/>
        <v>50812.137626664124</v>
      </c>
      <c r="Q11" s="29">
        <f t="shared" si="1"/>
        <v>50812.137626664124</v>
      </c>
      <c r="R11" s="29">
        <f t="shared" si="1"/>
        <v>50812.137626664124</v>
      </c>
      <c r="S11" s="29">
        <f t="shared" si="1"/>
        <v>50812.137626664124</v>
      </c>
      <c r="T11" s="29">
        <f t="shared" si="1"/>
        <v>50812.137626664124</v>
      </c>
      <c r="U11" s="29">
        <f t="shared" si="1"/>
        <v>50812.137626664124</v>
      </c>
      <c r="V11" s="29">
        <f t="shared" si="1"/>
        <v>50812.137626664124</v>
      </c>
      <c r="W11" s="29">
        <f t="shared" si="1"/>
        <v>50812.137626664124</v>
      </c>
      <c r="X11" s="29">
        <f t="shared" si="1"/>
        <v>50812.137626664124</v>
      </c>
      <c r="Y11" s="29">
        <f t="shared" si="1"/>
        <v>50812.137626664124</v>
      </c>
      <c r="Z11" s="29">
        <f t="shared" si="1"/>
        <v>50741.510087548268</v>
      </c>
      <c r="AA11" s="29">
        <f t="shared" si="1"/>
        <v>50812.137626664124</v>
      </c>
      <c r="AB11" s="29">
        <f t="shared" si="1"/>
        <v>50812.137626664124</v>
      </c>
      <c r="AC11" s="29">
        <f t="shared" si="1"/>
        <v>50812.137626664124</v>
      </c>
      <c r="AD11" s="29">
        <f t="shared" si="1"/>
        <v>50812.137626664124</v>
      </c>
      <c r="AE11" s="29">
        <f t="shared" si="1"/>
        <v>50812.137626664124</v>
      </c>
      <c r="AF11" s="29">
        <f t="shared" si="1"/>
        <v>50812.137626664124</v>
      </c>
      <c r="AG11" s="29">
        <f t="shared" si="1"/>
        <v>50812.137626664124</v>
      </c>
      <c r="AH11" s="29">
        <f t="shared" si="1"/>
        <v>50812.137626664124</v>
      </c>
      <c r="AI11" s="29">
        <f t="shared" si="1"/>
        <v>50812.137626664124</v>
      </c>
      <c r="AJ11" s="29">
        <f t="shared" si="1"/>
        <v>50812.137626664124</v>
      </c>
      <c r="AK11" s="29">
        <f t="shared" si="1"/>
        <v>50812.137626664124</v>
      </c>
    </row>
    <row r="12" spans="1:38" x14ac:dyDescent="0.25">
      <c r="A12" t="s">
        <v>183</v>
      </c>
      <c r="B12" s="2">
        <f>IRR(B10:AK10)</f>
        <v>0.20477685255224198</v>
      </c>
    </row>
    <row r="13" spans="1:38" x14ac:dyDescent="0.25">
      <c r="A13" t="s">
        <v>184</v>
      </c>
      <c r="B13" s="2">
        <f>IRR(B11:AK11)</f>
        <v>0.20477685255224198</v>
      </c>
    </row>
    <row r="14" spans="1:38" x14ac:dyDescent="0.25">
      <c r="A14" t="s">
        <v>185</v>
      </c>
      <c r="B14" s="23">
        <f>NPV(Inputs!B57,B10:AK10)</f>
        <v>494243.09795611294</v>
      </c>
    </row>
    <row r="15" spans="1:38" x14ac:dyDescent="0.25">
      <c r="B15" s="23"/>
    </row>
    <row r="16" spans="1:38" x14ac:dyDescent="0.25">
      <c r="A16" s="1" t="s">
        <v>170</v>
      </c>
    </row>
    <row r="17" spans="1:38" x14ac:dyDescent="0.25">
      <c r="B17" t="s">
        <v>160</v>
      </c>
      <c r="C17" s="33">
        <v>40878</v>
      </c>
      <c r="E17" s="33">
        <v>41974</v>
      </c>
    </row>
    <row r="18" spans="1:38" x14ac:dyDescent="0.25">
      <c r="A18" t="s">
        <v>163</v>
      </c>
      <c r="B18" s="5">
        <v>20000</v>
      </c>
      <c r="C18" s="29">
        <v>20000</v>
      </c>
      <c r="D18" s="34">
        <v>4.1688750124024024E-2</v>
      </c>
      <c r="E18" s="29">
        <v>178162.12643753228</v>
      </c>
    </row>
    <row r="19" spans="1:38" x14ac:dyDescent="0.25">
      <c r="A19" t="s">
        <v>164</v>
      </c>
      <c r="C19" s="5">
        <v>229872.8666666667</v>
      </c>
      <c r="D19" s="34">
        <v>0.47915562493798797</v>
      </c>
      <c r="E19" s="29">
        <v>2047731.9367812339</v>
      </c>
    </row>
    <row r="20" spans="1:38" x14ac:dyDescent="0.25">
      <c r="A20" t="s">
        <v>161</v>
      </c>
      <c r="B20" s="5"/>
      <c r="C20" s="5">
        <v>229872.8666666667</v>
      </c>
      <c r="D20" s="34">
        <v>0.47915562493798797</v>
      </c>
      <c r="E20" s="29">
        <v>2047731.9367812339</v>
      </c>
    </row>
    <row r="21" spans="1:38" x14ac:dyDescent="0.25">
      <c r="A21" t="s">
        <v>162</v>
      </c>
      <c r="B21" s="5">
        <v>20000</v>
      </c>
      <c r="C21" s="5">
        <v>479745.7333333334</v>
      </c>
      <c r="D21" s="34">
        <v>1</v>
      </c>
      <c r="E21" s="5">
        <v>4273626</v>
      </c>
    </row>
    <row r="22" spans="1:38" x14ac:dyDescent="0.25">
      <c r="B22" s="33">
        <v>40878</v>
      </c>
      <c r="C22" s="33">
        <v>40909</v>
      </c>
      <c r="D22" s="33">
        <v>40940</v>
      </c>
      <c r="E22" s="33">
        <v>40969</v>
      </c>
      <c r="F22" s="33">
        <v>41000</v>
      </c>
      <c r="G22" s="33">
        <v>41030</v>
      </c>
      <c r="H22" s="33">
        <v>41061</v>
      </c>
      <c r="I22" s="33">
        <v>41091</v>
      </c>
      <c r="J22" s="33">
        <v>41122</v>
      </c>
      <c r="K22" s="33">
        <v>41153</v>
      </c>
      <c r="L22" s="33">
        <v>41183</v>
      </c>
      <c r="M22" s="33">
        <v>41214</v>
      </c>
      <c r="N22" s="33">
        <v>41244</v>
      </c>
      <c r="O22" s="33">
        <v>41275</v>
      </c>
      <c r="P22" s="33">
        <v>41306</v>
      </c>
      <c r="Q22" s="33">
        <v>41334</v>
      </c>
      <c r="R22" s="33">
        <v>41365</v>
      </c>
      <c r="S22" s="33">
        <v>41395</v>
      </c>
      <c r="T22" s="33">
        <v>41426</v>
      </c>
      <c r="U22" s="33">
        <v>41456</v>
      </c>
      <c r="V22" s="33">
        <v>41487</v>
      </c>
      <c r="W22" s="33">
        <v>41518</v>
      </c>
      <c r="X22" s="33">
        <v>41548</v>
      </c>
      <c r="Y22" s="33">
        <v>41579</v>
      </c>
      <c r="Z22" s="33">
        <v>41609</v>
      </c>
      <c r="AA22" s="33">
        <v>41640</v>
      </c>
      <c r="AB22" s="33">
        <v>41671</v>
      </c>
      <c r="AC22" s="33">
        <v>41699</v>
      </c>
      <c r="AD22" s="33">
        <v>41730</v>
      </c>
      <c r="AE22" s="33">
        <v>41760</v>
      </c>
      <c r="AF22" s="33">
        <v>41791</v>
      </c>
      <c r="AG22" s="33">
        <v>41821</v>
      </c>
      <c r="AH22" s="33">
        <v>41852</v>
      </c>
      <c r="AI22" s="33">
        <v>41883</v>
      </c>
      <c r="AJ22" s="33">
        <v>41913</v>
      </c>
      <c r="AK22" s="33">
        <v>41944</v>
      </c>
      <c r="AL22" s="33">
        <v>41974</v>
      </c>
    </row>
    <row r="23" spans="1:38" x14ac:dyDescent="0.25">
      <c r="A23" t="s">
        <v>174</v>
      </c>
      <c r="B23" s="5">
        <v>-34826.433333333334</v>
      </c>
      <c r="C23" s="5">
        <v>-34826.433333333334</v>
      </c>
      <c r="D23" s="5">
        <v>-147326.43333333335</v>
      </c>
      <c r="E23" s="5">
        <v>-242766.43333333335</v>
      </c>
      <c r="F23" s="5">
        <v>7424.3666666666722</v>
      </c>
      <c r="G23" s="5">
        <v>52820.366666666669</v>
      </c>
      <c r="H23" s="5">
        <v>98216.366666666669</v>
      </c>
      <c r="I23" s="5">
        <v>143612.36666666667</v>
      </c>
      <c r="J23" s="5">
        <v>158276.36666666667</v>
      </c>
      <c r="K23" s="5">
        <v>158276.36666666667</v>
      </c>
      <c r="L23" s="5">
        <v>158276.36666666667</v>
      </c>
      <c r="M23" s="5">
        <v>158276.36666666667</v>
      </c>
      <c r="N23" s="5">
        <v>158056.36666666667</v>
      </c>
      <c r="O23" s="5">
        <v>158276.36666666667</v>
      </c>
      <c r="P23" s="5">
        <v>158276.36666666667</v>
      </c>
      <c r="Q23" s="5">
        <v>158276.36666666667</v>
      </c>
      <c r="R23" s="5">
        <v>158276.36666666667</v>
      </c>
      <c r="S23" s="5">
        <v>158276.36666666667</v>
      </c>
      <c r="T23" s="5">
        <v>158276.36666666667</v>
      </c>
      <c r="U23" s="5">
        <v>158276.36666666667</v>
      </c>
      <c r="V23" s="5">
        <v>158276.36666666667</v>
      </c>
      <c r="W23" s="5">
        <v>158276.36666666667</v>
      </c>
      <c r="X23" s="5">
        <v>158276.36666666667</v>
      </c>
      <c r="Y23" s="5">
        <v>158276.36666666667</v>
      </c>
      <c r="Z23" s="5">
        <v>158056.36666666667</v>
      </c>
      <c r="AA23" s="5">
        <v>158276.36666666667</v>
      </c>
      <c r="AB23" s="5">
        <v>158276.36666666667</v>
      </c>
      <c r="AC23" s="5">
        <v>158276.36666666667</v>
      </c>
      <c r="AD23" s="5">
        <v>158276.36666666667</v>
      </c>
      <c r="AE23" s="5">
        <v>158276.36666666667</v>
      </c>
      <c r="AF23" s="5">
        <v>158276.36666666667</v>
      </c>
      <c r="AG23" s="5">
        <v>158276.36666666667</v>
      </c>
      <c r="AH23" s="5">
        <v>158276.36666666667</v>
      </c>
      <c r="AI23" s="5">
        <v>158276.36666666667</v>
      </c>
      <c r="AJ23" s="5">
        <v>158276.36666666667</v>
      </c>
      <c r="AK23" s="5">
        <v>158276.36666666667</v>
      </c>
      <c r="AL23" s="5">
        <f>E36</f>
        <v>3649441.7599999993</v>
      </c>
    </row>
    <row r="24" spans="1:38" x14ac:dyDescent="0.25">
      <c r="A24" t="s">
        <v>180</v>
      </c>
      <c r="B24" s="5">
        <v>-23333.710333333333</v>
      </c>
      <c r="C24" s="5">
        <v>-23333.710333333333</v>
      </c>
      <c r="D24" s="5">
        <v>-98708.710333333336</v>
      </c>
      <c r="E24" s="5">
        <v>-162653.51033333334</v>
      </c>
      <c r="F24" s="5">
        <v>4974.3256666666703</v>
      </c>
      <c r="G24" s="5">
        <v>35389.645666666664</v>
      </c>
      <c r="H24" s="5">
        <v>65804.965666666656</v>
      </c>
      <c r="I24" s="5">
        <v>96220.285666666663</v>
      </c>
      <c r="J24" s="5">
        <v>106045.16566666665</v>
      </c>
      <c r="K24" s="5">
        <v>106045.16566666665</v>
      </c>
      <c r="L24" s="5">
        <v>106045.16566666665</v>
      </c>
      <c r="M24" s="5">
        <v>106045.16566666665</v>
      </c>
      <c r="N24" s="5">
        <v>105897.76566666666</v>
      </c>
      <c r="O24" s="5">
        <v>106045.16566666665</v>
      </c>
      <c r="P24" s="5">
        <v>106045.16566666665</v>
      </c>
      <c r="Q24" s="5">
        <v>106045.16566666665</v>
      </c>
      <c r="R24" s="5">
        <v>106045.16566666665</v>
      </c>
      <c r="S24" s="5">
        <v>106045.16566666665</v>
      </c>
      <c r="T24" s="5">
        <v>106045.16566666665</v>
      </c>
      <c r="U24" s="5">
        <v>106045.16566666665</v>
      </c>
      <c r="V24" s="5">
        <v>106045.16566666665</v>
      </c>
      <c r="W24" s="5">
        <v>106045.16566666665</v>
      </c>
      <c r="X24" s="5">
        <v>106045.16566666665</v>
      </c>
      <c r="Y24" s="5">
        <v>106045.16566666665</v>
      </c>
      <c r="Z24" s="5">
        <v>105897.76566666666</v>
      </c>
      <c r="AA24" s="5">
        <v>106045.16566666665</v>
      </c>
      <c r="AB24" s="5">
        <v>106045.16566666665</v>
      </c>
      <c r="AC24" s="5">
        <v>106045.16566666665</v>
      </c>
      <c r="AD24" s="5">
        <v>106045.16566666665</v>
      </c>
      <c r="AE24" s="5">
        <v>106045.16566666665</v>
      </c>
      <c r="AF24" s="5">
        <v>106045.16566666665</v>
      </c>
      <c r="AG24" s="5">
        <v>106045.16566666665</v>
      </c>
      <c r="AH24" s="5">
        <v>106045.16566666665</v>
      </c>
      <c r="AI24" s="5">
        <v>106045.16566666665</v>
      </c>
      <c r="AJ24" s="5">
        <v>106045.16566666665</v>
      </c>
      <c r="AK24" s="5">
        <v>106045.16566666665</v>
      </c>
      <c r="AL24" s="5">
        <f>AL23*0.67</f>
        <v>2445125.9791999995</v>
      </c>
    </row>
    <row r="25" spans="1:38" x14ac:dyDescent="0.25">
      <c r="A25" t="s">
        <v>181</v>
      </c>
      <c r="B25" s="5">
        <v>-12153.23177644301</v>
      </c>
      <c r="C25" s="5">
        <v>-12153.23177644301</v>
      </c>
      <c r="D25" s="5">
        <v>-51411.876546742169</v>
      </c>
      <c r="E25" s="5">
        <v>-84717.16594120751</v>
      </c>
      <c r="F25" s="5">
        <v>2590.849543209928</v>
      </c>
      <c r="G25" s="5">
        <v>18432.497880921037</v>
      </c>
      <c r="H25" s="5">
        <v>34274.146218632151</v>
      </c>
      <c r="I25" s="5">
        <v>50115.794556343266</v>
      </c>
      <c r="J25" s="5">
        <v>55233.028040002522</v>
      </c>
      <c r="K25" s="5">
        <v>55233.028040002522</v>
      </c>
      <c r="L25" s="5">
        <v>55233.028040002522</v>
      </c>
      <c r="M25" s="5">
        <v>55233.028040002522</v>
      </c>
      <c r="N25" s="5">
        <v>55156.255579118384</v>
      </c>
      <c r="O25" s="5">
        <v>55233.028040002522</v>
      </c>
      <c r="P25" s="5">
        <v>55233.028040002522</v>
      </c>
      <c r="Q25" s="5">
        <v>55233.028040002522</v>
      </c>
      <c r="R25" s="5">
        <v>55233.028040002522</v>
      </c>
      <c r="S25" s="5">
        <v>55233.028040002522</v>
      </c>
      <c r="T25" s="5">
        <v>55233.028040002522</v>
      </c>
      <c r="U25" s="5">
        <v>55233.028040002522</v>
      </c>
      <c r="V25" s="5">
        <v>55233.028040002522</v>
      </c>
      <c r="W25" s="5">
        <v>55233.028040002522</v>
      </c>
      <c r="X25" s="5">
        <v>55233.028040002522</v>
      </c>
      <c r="Y25" s="5">
        <v>55233.028040002522</v>
      </c>
      <c r="Z25" s="5">
        <v>55156.255579118384</v>
      </c>
      <c r="AA25" s="5">
        <v>55233.028040002522</v>
      </c>
      <c r="AB25" s="5">
        <v>55233.028040002522</v>
      </c>
      <c r="AC25" s="5">
        <v>55233.028040002522</v>
      </c>
      <c r="AD25" s="5">
        <v>55233.028040002522</v>
      </c>
      <c r="AE25" s="5">
        <v>55233.028040002522</v>
      </c>
      <c r="AF25" s="5">
        <v>55233.028040002522</v>
      </c>
      <c r="AG25" s="5">
        <v>55233.028040002522</v>
      </c>
      <c r="AH25" s="5">
        <v>55233.028040002522</v>
      </c>
      <c r="AI25" s="5">
        <v>55233.028040002522</v>
      </c>
      <c r="AJ25" s="5">
        <v>55233.028040002522</v>
      </c>
      <c r="AK25" s="5">
        <v>55233.028040002522</v>
      </c>
      <c r="AL25" s="5">
        <f>AL24*($D$3+$D$4)</f>
        <v>1273530.1125843138</v>
      </c>
    </row>
    <row r="26" spans="1:38" x14ac:dyDescent="0.25">
      <c r="A26" t="s">
        <v>182</v>
      </c>
      <c r="B26" s="29">
        <v>-11180.478556890321</v>
      </c>
      <c r="C26" s="29">
        <v>-11180.478556890321</v>
      </c>
      <c r="D26" s="29">
        <v>-47296.833786591167</v>
      </c>
      <c r="E26" s="29">
        <v>-77936.344392125815</v>
      </c>
      <c r="F26" s="29">
        <v>2383.4761234567418</v>
      </c>
      <c r="G26" s="29">
        <v>16957.147785745623</v>
      </c>
      <c r="H26" s="29">
        <v>31530.819448034505</v>
      </c>
      <c r="I26" s="29">
        <v>46104.49111032339</v>
      </c>
      <c r="J26" s="29">
        <v>50812.137626664124</v>
      </c>
      <c r="K26" s="29">
        <v>50812.137626664124</v>
      </c>
      <c r="L26" s="29">
        <v>50812.137626664124</v>
      </c>
      <c r="M26" s="29">
        <v>50812.137626664124</v>
      </c>
      <c r="N26" s="29">
        <v>50741.510087548268</v>
      </c>
      <c r="O26" s="29">
        <v>50812.137626664124</v>
      </c>
      <c r="P26" s="29">
        <v>50812.137626664124</v>
      </c>
      <c r="Q26" s="29">
        <v>50812.137626664124</v>
      </c>
      <c r="R26" s="29">
        <v>50812.137626664124</v>
      </c>
      <c r="S26" s="29">
        <v>50812.137626664124</v>
      </c>
      <c r="T26" s="29">
        <v>50812.137626664124</v>
      </c>
      <c r="U26" s="29">
        <v>50812.137626664124</v>
      </c>
      <c r="V26" s="29">
        <v>50812.137626664124</v>
      </c>
      <c r="W26" s="29">
        <v>50812.137626664124</v>
      </c>
      <c r="X26" s="29">
        <v>50812.137626664124</v>
      </c>
      <c r="Y26" s="29">
        <v>50812.137626664124</v>
      </c>
      <c r="Z26" s="29">
        <v>50741.510087548268</v>
      </c>
      <c r="AA26" s="29">
        <v>50812.137626664124</v>
      </c>
      <c r="AB26" s="29">
        <v>50812.137626664124</v>
      </c>
      <c r="AC26" s="29">
        <v>50812.137626664124</v>
      </c>
      <c r="AD26" s="29">
        <v>50812.137626664124</v>
      </c>
      <c r="AE26" s="29">
        <v>50812.137626664124</v>
      </c>
      <c r="AF26" s="29">
        <v>50812.137626664124</v>
      </c>
      <c r="AG26" s="29">
        <v>50812.137626664124</v>
      </c>
      <c r="AH26" s="29">
        <v>50812.137626664124</v>
      </c>
      <c r="AI26" s="29">
        <v>50812.137626664124</v>
      </c>
      <c r="AJ26" s="29">
        <v>50812.137626664124</v>
      </c>
      <c r="AK26" s="29">
        <v>50812.137626664124</v>
      </c>
      <c r="AL26" s="29">
        <f>AL24*$D$5</f>
        <v>1171595.8666156854</v>
      </c>
    </row>
    <row r="27" spans="1:38" x14ac:dyDescent="0.25">
      <c r="A27" t="s">
        <v>183</v>
      </c>
      <c r="B27" s="2">
        <f>IRR(B25:AL25)</f>
        <v>0.20675951556151473</v>
      </c>
    </row>
    <row r="28" spans="1:38" x14ac:dyDescent="0.25">
      <c r="A28" t="s">
        <v>184</v>
      </c>
      <c r="B28" s="2">
        <f>IRR(B26:AL26)</f>
        <v>0.20675951556151473</v>
      </c>
    </row>
    <row r="29" spans="1:38" x14ac:dyDescent="0.25">
      <c r="A29" t="s">
        <v>185</v>
      </c>
      <c r="B29" s="23">
        <v>494243.09795611294</v>
      </c>
    </row>
    <row r="30" spans="1:38" x14ac:dyDescent="0.25">
      <c r="B30" s="23"/>
    </row>
    <row r="31" spans="1:38" x14ac:dyDescent="0.25">
      <c r="A31" s="1" t="s">
        <v>171</v>
      </c>
    </row>
    <row r="32" spans="1:38" x14ac:dyDescent="0.25">
      <c r="B32" t="s">
        <v>160</v>
      </c>
      <c r="C32" s="33">
        <v>40878</v>
      </c>
      <c r="E32" t="s">
        <v>169</v>
      </c>
    </row>
    <row r="33" spans="1:38" x14ac:dyDescent="0.25">
      <c r="A33" t="s">
        <v>163</v>
      </c>
      <c r="B33" s="5">
        <v>20000</v>
      </c>
      <c r="C33" s="29">
        <f>B33</f>
        <v>20000</v>
      </c>
      <c r="D33" s="34">
        <f>C33/$C$36</f>
        <v>4.1688750124024024E-2</v>
      </c>
      <c r="E33" s="29">
        <f>D33*$E$36</f>
        <v>152140.66562481842</v>
      </c>
    </row>
    <row r="34" spans="1:38" x14ac:dyDescent="0.25">
      <c r="A34" t="s">
        <v>164</v>
      </c>
      <c r="C34" s="5">
        <f>-'Office P&amp;L'!$B$62/2</f>
        <v>229872.8666666667</v>
      </c>
      <c r="D34" s="34">
        <f t="shared" ref="D34:D36" si="2">C34/$C$36</f>
        <v>0.47915562493798797</v>
      </c>
      <c r="E34" s="29">
        <f t="shared" ref="E34:E35" si="3">D34*$E$36</f>
        <v>1748650.5471875903</v>
      </c>
    </row>
    <row r="35" spans="1:38" x14ac:dyDescent="0.25">
      <c r="A35" t="s">
        <v>161</v>
      </c>
      <c r="B35" s="5"/>
      <c r="C35" s="5">
        <f>-'Office P&amp;L'!$B$62/2</f>
        <v>229872.8666666667</v>
      </c>
      <c r="D35" s="34">
        <f t="shared" si="2"/>
        <v>0.47915562493798797</v>
      </c>
      <c r="E35" s="29">
        <f t="shared" si="3"/>
        <v>1748650.5471875903</v>
      </c>
    </row>
    <row r="36" spans="1:38" x14ac:dyDescent="0.25">
      <c r="A36" t="s">
        <v>162</v>
      </c>
      <c r="B36" s="5">
        <f>SUM(B33:B35)</f>
        <v>20000</v>
      </c>
      <c r="C36" s="5">
        <f>SUM(C33:C35)</f>
        <v>479745.7333333334</v>
      </c>
      <c r="D36" s="34">
        <f t="shared" si="2"/>
        <v>1</v>
      </c>
      <c r="E36" s="5">
        <f>E41</f>
        <v>3649441.7599999993</v>
      </c>
    </row>
    <row r="38" spans="1:38" x14ac:dyDescent="0.25">
      <c r="A38" t="s">
        <v>165</v>
      </c>
      <c r="B38" s="5">
        <f>SUM('Office P&amp;L'!N38:Y38)</f>
        <v>1089385.5999999999</v>
      </c>
    </row>
    <row r="39" spans="1:38" x14ac:dyDescent="0.25">
      <c r="A39" t="s">
        <v>166</v>
      </c>
      <c r="B39" s="5">
        <f>B38*(1-Inputs!B56)</f>
        <v>729888.35199999984</v>
      </c>
    </row>
    <row r="40" spans="1:38" x14ac:dyDescent="0.25">
      <c r="A40" t="s">
        <v>168</v>
      </c>
      <c r="B40">
        <v>2</v>
      </c>
      <c r="C40">
        <v>3</v>
      </c>
      <c r="D40">
        <v>4</v>
      </c>
      <c r="E40">
        <v>5</v>
      </c>
      <c r="G40" s="29"/>
    </row>
    <row r="41" spans="1:38" x14ac:dyDescent="0.25">
      <c r="A41" t="s">
        <v>162</v>
      </c>
      <c r="B41" s="29">
        <f>$B$39*B40</f>
        <v>1459776.7039999997</v>
      </c>
      <c r="C41" s="29">
        <f t="shared" ref="C41:E41" si="4">$B$39*C40</f>
        <v>2189665.0559999994</v>
      </c>
      <c r="D41" s="29">
        <f t="shared" si="4"/>
        <v>2919553.4079999994</v>
      </c>
      <c r="E41" s="29">
        <f t="shared" si="4"/>
        <v>3649441.7599999993</v>
      </c>
    </row>
    <row r="42" spans="1:38" x14ac:dyDescent="0.25">
      <c r="B42" s="33">
        <v>40878</v>
      </c>
      <c r="C42" s="33">
        <v>40909</v>
      </c>
      <c r="D42" s="33">
        <v>40940</v>
      </c>
      <c r="E42" s="33">
        <v>40969</v>
      </c>
      <c r="F42" s="33">
        <v>41000</v>
      </c>
      <c r="G42" s="33">
        <v>41030</v>
      </c>
      <c r="H42" s="33">
        <v>41061</v>
      </c>
      <c r="I42" s="33">
        <v>41091</v>
      </c>
      <c r="J42" s="33">
        <v>41122</v>
      </c>
      <c r="K42" s="33">
        <v>41153</v>
      </c>
      <c r="L42" s="33">
        <v>41183</v>
      </c>
      <c r="M42" s="33">
        <v>41214</v>
      </c>
      <c r="N42" s="33">
        <v>41244</v>
      </c>
      <c r="O42" s="33">
        <v>41275</v>
      </c>
      <c r="P42" s="33">
        <v>41306</v>
      </c>
      <c r="Q42" s="33">
        <v>41334</v>
      </c>
      <c r="R42" s="33">
        <v>41365</v>
      </c>
      <c r="S42" s="33">
        <v>41395</v>
      </c>
      <c r="T42" s="33">
        <v>41426</v>
      </c>
      <c r="U42" s="33">
        <v>41456</v>
      </c>
      <c r="V42" s="33">
        <v>41487</v>
      </c>
      <c r="W42" s="33">
        <v>41518</v>
      </c>
      <c r="X42" s="33">
        <v>41548</v>
      </c>
      <c r="Y42" s="33">
        <v>41579</v>
      </c>
      <c r="Z42" s="33">
        <v>41609</v>
      </c>
      <c r="AA42" s="33">
        <v>41640</v>
      </c>
      <c r="AB42" s="33">
        <v>41671</v>
      </c>
      <c r="AC42" s="33">
        <v>41699</v>
      </c>
      <c r="AD42" s="33">
        <v>41730</v>
      </c>
      <c r="AE42" s="33">
        <v>41760</v>
      </c>
      <c r="AF42" s="33">
        <v>41791</v>
      </c>
      <c r="AG42" s="33">
        <v>41821</v>
      </c>
      <c r="AH42" s="33">
        <v>41852</v>
      </c>
      <c r="AI42" s="33">
        <v>41883</v>
      </c>
      <c r="AJ42" s="33">
        <v>41913</v>
      </c>
      <c r="AK42" s="33">
        <v>41944</v>
      </c>
      <c r="AL42" s="33">
        <v>41974</v>
      </c>
    </row>
    <row r="43" spans="1:38" x14ac:dyDescent="0.25">
      <c r="A43" t="s">
        <v>172</v>
      </c>
      <c r="B43" s="29">
        <f>-C35</f>
        <v>-229872.8666666667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s="29">
        <f>E35</f>
        <v>1748650.5471875903</v>
      </c>
    </row>
    <row r="44" spans="1:38" x14ac:dyDescent="0.25">
      <c r="A44" t="s">
        <v>184</v>
      </c>
      <c r="B44" s="2">
        <f>IRR(B43:AL43)</f>
        <v>5.7981815704469808E-2</v>
      </c>
    </row>
    <row r="46" spans="1:38" x14ac:dyDescent="0.25">
      <c r="A46" s="1" t="s">
        <v>175</v>
      </c>
    </row>
    <row r="47" spans="1:38" x14ac:dyDescent="0.25">
      <c r="A47" t="s">
        <v>176</v>
      </c>
      <c r="B47" s="35">
        <v>0.05</v>
      </c>
    </row>
    <row r="48" spans="1:38" x14ac:dyDescent="0.25">
      <c r="A48" t="s">
        <v>179</v>
      </c>
      <c r="B48" s="36">
        <v>36</v>
      </c>
    </row>
    <row r="49" spans="1:37" x14ac:dyDescent="0.25">
      <c r="B49" t="s">
        <v>160</v>
      </c>
      <c r="C49" s="33">
        <v>40878</v>
      </c>
    </row>
    <row r="50" spans="1:37" x14ac:dyDescent="0.25">
      <c r="A50" t="s">
        <v>163</v>
      </c>
      <c r="B50" s="5">
        <v>20000</v>
      </c>
      <c r="C50" s="29">
        <f>B50</f>
        <v>20000</v>
      </c>
      <c r="D50" s="34">
        <f>C50/$C$36</f>
        <v>4.1688750124024024E-2</v>
      </c>
    </row>
    <row r="51" spans="1:37" x14ac:dyDescent="0.25">
      <c r="A51" t="s">
        <v>164</v>
      </c>
      <c r="C51" s="5">
        <f>-'Office P&amp;L'!$B$62/2</f>
        <v>229872.8666666667</v>
      </c>
      <c r="D51" s="34">
        <f t="shared" ref="D51:D53" si="5">C51/$C$36</f>
        <v>0.47915562493798797</v>
      </c>
    </row>
    <row r="52" spans="1:37" x14ac:dyDescent="0.25">
      <c r="A52" t="s">
        <v>173</v>
      </c>
      <c r="B52" s="5"/>
      <c r="C52" s="5">
        <f>-'Office P&amp;L'!$B$62/2</f>
        <v>229872.8666666667</v>
      </c>
      <c r="D52" s="34">
        <f t="shared" si="5"/>
        <v>0.47915562493798797</v>
      </c>
    </row>
    <row r="53" spans="1:37" x14ac:dyDescent="0.25">
      <c r="A53" t="s">
        <v>162</v>
      </c>
      <c r="B53" s="5">
        <f>SUM(B50:B52)</f>
        <v>20000</v>
      </c>
      <c r="C53" s="5">
        <f>SUM(C50:C52)</f>
        <v>479745.7333333334</v>
      </c>
      <c r="D53" s="34">
        <f t="shared" si="5"/>
        <v>1</v>
      </c>
    </row>
    <row r="54" spans="1:37" x14ac:dyDescent="0.25">
      <c r="B54" s="33">
        <v>40878</v>
      </c>
      <c r="C54" s="33">
        <v>40909</v>
      </c>
      <c r="D54" s="33">
        <v>40940</v>
      </c>
      <c r="E54" s="33">
        <v>40969</v>
      </c>
      <c r="F54" s="33">
        <v>41000</v>
      </c>
      <c r="G54" s="33">
        <v>41030</v>
      </c>
      <c r="H54" s="33">
        <v>41061</v>
      </c>
      <c r="I54" s="33">
        <v>41091</v>
      </c>
      <c r="J54" s="33">
        <v>41122</v>
      </c>
      <c r="K54" s="33">
        <v>41153</v>
      </c>
      <c r="L54" s="33">
        <v>41183</v>
      </c>
      <c r="M54" s="33">
        <v>41214</v>
      </c>
      <c r="N54" s="33">
        <v>41244</v>
      </c>
      <c r="O54" s="33">
        <v>41275</v>
      </c>
      <c r="P54" s="33">
        <v>41306</v>
      </c>
      <c r="Q54" s="33">
        <v>41334</v>
      </c>
      <c r="R54" s="33">
        <v>41365</v>
      </c>
      <c r="S54" s="33">
        <v>41395</v>
      </c>
      <c r="T54" s="33">
        <v>41426</v>
      </c>
      <c r="U54" s="33">
        <v>41456</v>
      </c>
      <c r="V54" s="33">
        <v>41487</v>
      </c>
      <c r="W54" s="33">
        <v>41518</v>
      </c>
      <c r="X54" s="33">
        <v>41548</v>
      </c>
      <c r="Y54" s="33">
        <v>41579</v>
      </c>
      <c r="Z54" s="33">
        <v>41609</v>
      </c>
      <c r="AA54" s="33">
        <v>41640</v>
      </c>
      <c r="AB54" s="33">
        <v>41671</v>
      </c>
      <c r="AC54" s="33">
        <v>41699</v>
      </c>
      <c r="AD54" s="33">
        <v>41730</v>
      </c>
      <c r="AE54" s="33">
        <v>41760</v>
      </c>
      <c r="AF54" s="33">
        <v>41791</v>
      </c>
      <c r="AG54" s="33">
        <v>41821</v>
      </c>
      <c r="AH54" s="33">
        <v>41852</v>
      </c>
      <c r="AI54" s="33">
        <v>41883</v>
      </c>
      <c r="AJ54" s="33">
        <v>41913</v>
      </c>
      <c r="AK54" s="33">
        <v>41944</v>
      </c>
    </row>
    <row r="55" spans="1:37" x14ac:dyDescent="0.25">
      <c r="A55" t="s">
        <v>178</v>
      </c>
      <c r="B55" s="5">
        <f>'Office P&amp;L'!B60</f>
        <v>-34826.433333333334</v>
      </c>
      <c r="C55" s="5">
        <f>'Office P&amp;L'!C60</f>
        <v>-34826.433333333334</v>
      </c>
      <c r="D55" s="5">
        <f>'Office P&amp;L'!D60</f>
        <v>-147326.43333333335</v>
      </c>
      <c r="E55" s="5">
        <f>'Office P&amp;L'!E60</f>
        <v>-242766.43333333335</v>
      </c>
      <c r="F55" s="5">
        <f>'Office P&amp;L'!F60</f>
        <v>7424.3666666666722</v>
      </c>
      <c r="G55" s="5">
        <f>'Office P&amp;L'!G60</f>
        <v>52820.366666666669</v>
      </c>
      <c r="H55" s="5">
        <f>'Office P&amp;L'!H60</f>
        <v>98216.366666666669</v>
      </c>
      <c r="I55" s="5">
        <f>'Office P&amp;L'!I60</f>
        <v>143612.36666666667</v>
      </c>
      <c r="J55" s="5">
        <f>'Office P&amp;L'!J60</f>
        <v>158276.36666666667</v>
      </c>
      <c r="K55" s="5">
        <f>'Office P&amp;L'!K60</f>
        <v>158276.36666666667</v>
      </c>
      <c r="L55" s="5">
        <f>'Office P&amp;L'!L60</f>
        <v>158276.36666666667</v>
      </c>
      <c r="M55" s="5">
        <f>'Office P&amp;L'!M60</f>
        <v>158276.36666666667</v>
      </c>
      <c r="N55" s="5">
        <f>'Office P&amp;L'!N60</f>
        <v>158056.36666666667</v>
      </c>
      <c r="O55" s="5">
        <f>'Office P&amp;L'!O60</f>
        <v>158276.36666666667</v>
      </c>
      <c r="P55" s="5">
        <f>'Office P&amp;L'!P60</f>
        <v>158276.36666666667</v>
      </c>
      <c r="Q55" s="5">
        <f>'Office P&amp;L'!Q60</f>
        <v>158276.36666666667</v>
      </c>
      <c r="R55" s="5">
        <f>'Office P&amp;L'!R60</f>
        <v>158276.36666666667</v>
      </c>
      <c r="S55" s="5">
        <f>'Office P&amp;L'!S60</f>
        <v>158276.36666666667</v>
      </c>
      <c r="T55" s="5">
        <f>'Office P&amp;L'!T60</f>
        <v>158276.36666666667</v>
      </c>
      <c r="U55" s="5">
        <f>'Office P&amp;L'!U60</f>
        <v>158276.36666666667</v>
      </c>
      <c r="V55" s="5">
        <f>'Office P&amp;L'!V60</f>
        <v>158276.36666666667</v>
      </c>
      <c r="W55" s="5">
        <f>'Office P&amp;L'!W60</f>
        <v>158276.36666666667</v>
      </c>
      <c r="X55" s="5">
        <f>'Office P&amp;L'!X60</f>
        <v>158276.36666666667</v>
      </c>
      <c r="Y55" s="5">
        <f>'Office P&amp;L'!Y60</f>
        <v>158276.36666666667</v>
      </c>
      <c r="Z55" s="5">
        <f>'Office P&amp;L'!Z60</f>
        <v>158056.36666666667</v>
      </c>
      <c r="AA55" s="5">
        <f>'Office P&amp;L'!AA60</f>
        <v>158276.36666666667</v>
      </c>
      <c r="AB55" s="5">
        <f>'Office P&amp;L'!AB60</f>
        <v>158276.36666666667</v>
      </c>
      <c r="AC55" s="5">
        <f>'Office P&amp;L'!AC60</f>
        <v>158276.36666666667</v>
      </c>
      <c r="AD55" s="5">
        <f>'Office P&amp;L'!AD60</f>
        <v>158276.36666666667</v>
      </c>
      <c r="AE55" s="5">
        <f>'Office P&amp;L'!AE60</f>
        <v>158276.36666666667</v>
      </c>
      <c r="AF55" s="5">
        <f>'Office P&amp;L'!AF60</f>
        <v>158276.36666666667</v>
      </c>
      <c r="AG55" s="5">
        <f>'Office P&amp;L'!AG60</f>
        <v>158276.36666666667</v>
      </c>
      <c r="AH55" s="5">
        <f>'Office P&amp;L'!AH60</f>
        <v>158276.36666666667</v>
      </c>
      <c r="AI55" s="5">
        <f>'Office P&amp;L'!AI60</f>
        <v>158276.36666666667</v>
      </c>
      <c r="AJ55" s="5">
        <f>'Office P&amp;L'!AJ60</f>
        <v>158276.36666666667</v>
      </c>
      <c r="AK55" s="5">
        <f>'Office P&amp;L'!AK60</f>
        <v>158276.36666666667</v>
      </c>
    </row>
    <row r="56" spans="1:37" x14ac:dyDescent="0.25">
      <c r="A56" t="s">
        <v>177</v>
      </c>
      <c r="B56" s="23">
        <f>PMT($B$47,$B$48,$C$52)</f>
        <v>-13892.241903727403</v>
      </c>
      <c r="C56" s="23">
        <f>$B$56</f>
        <v>-13892.241903727403</v>
      </c>
      <c r="D56" s="23">
        <f t="shared" ref="D56:AK56" si="6">$B$56</f>
        <v>-13892.241903727403</v>
      </c>
      <c r="E56" s="23">
        <f t="shared" si="6"/>
        <v>-13892.241903727403</v>
      </c>
      <c r="F56" s="23">
        <f t="shared" si="6"/>
        <v>-13892.241903727403</v>
      </c>
      <c r="G56" s="23">
        <f t="shared" si="6"/>
        <v>-13892.241903727403</v>
      </c>
      <c r="H56" s="23">
        <f t="shared" si="6"/>
        <v>-13892.241903727403</v>
      </c>
      <c r="I56" s="23">
        <f t="shared" si="6"/>
        <v>-13892.241903727403</v>
      </c>
      <c r="J56" s="23">
        <f t="shared" si="6"/>
        <v>-13892.241903727403</v>
      </c>
      <c r="K56" s="23">
        <f t="shared" si="6"/>
        <v>-13892.241903727403</v>
      </c>
      <c r="L56" s="23">
        <f t="shared" si="6"/>
        <v>-13892.241903727403</v>
      </c>
      <c r="M56" s="23">
        <f t="shared" si="6"/>
        <v>-13892.241903727403</v>
      </c>
      <c r="N56" s="23">
        <f t="shared" si="6"/>
        <v>-13892.241903727403</v>
      </c>
      <c r="O56" s="23">
        <f t="shared" si="6"/>
        <v>-13892.241903727403</v>
      </c>
      <c r="P56" s="23">
        <f t="shared" si="6"/>
        <v>-13892.241903727403</v>
      </c>
      <c r="Q56" s="23">
        <f t="shared" si="6"/>
        <v>-13892.241903727403</v>
      </c>
      <c r="R56" s="23">
        <f t="shared" si="6"/>
        <v>-13892.241903727403</v>
      </c>
      <c r="S56" s="23">
        <f t="shared" si="6"/>
        <v>-13892.241903727403</v>
      </c>
      <c r="T56" s="23">
        <f t="shared" si="6"/>
        <v>-13892.241903727403</v>
      </c>
      <c r="U56" s="23">
        <f t="shared" si="6"/>
        <v>-13892.241903727403</v>
      </c>
      <c r="V56" s="23">
        <f t="shared" si="6"/>
        <v>-13892.241903727403</v>
      </c>
      <c r="W56" s="23">
        <f t="shared" si="6"/>
        <v>-13892.241903727403</v>
      </c>
      <c r="X56" s="23">
        <f t="shared" si="6"/>
        <v>-13892.241903727403</v>
      </c>
      <c r="Y56" s="23">
        <f t="shared" si="6"/>
        <v>-13892.241903727403</v>
      </c>
      <c r="Z56" s="23">
        <f t="shared" si="6"/>
        <v>-13892.241903727403</v>
      </c>
      <c r="AA56" s="23">
        <f t="shared" si="6"/>
        <v>-13892.241903727403</v>
      </c>
      <c r="AB56" s="23">
        <f t="shared" si="6"/>
        <v>-13892.241903727403</v>
      </c>
      <c r="AC56" s="23">
        <f t="shared" si="6"/>
        <v>-13892.241903727403</v>
      </c>
      <c r="AD56" s="23">
        <f t="shared" si="6"/>
        <v>-13892.241903727403</v>
      </c>
      <c r="AE56" s="23">
        <f t="shared" si="6"/>
        <v>-13892.241903727403</v>
      </c>
      <c r="AF56" s="23">
        <f t="shared" si="6"/>
        <v>-13892.241903727403</v>
      </c>
      <c r="AG56" s="23">
        <f t="shared" si="6"/>
        <v>-13892.241903727403</v>
      </c>
      <c r="AH56" s="23">
        <f t="shared" si="6"/>
        <v>-13892.241903727403</v>
      </c>
      <c r="AI56" s="23">
        <f t="shared" si="6"/>
        <v>-13892.241903727403</v>
      </c>
      <c r="AJ56" s="23">
        <f t="shared" si="6"/>
        <v>-13892.241903727403</v>
      </c>
      <c r="AK56" s="23">
        <f t="shared" si="6"/>
        <v>-13892.241903727403</v>
      </c>
    </row>
    <row r="57" spans="1:37" x14ac:dyDescent="0.25">
      <c r="A57" t="s">
        <v>174</v>
      </c>
      <c r="B57" s="29">
        <f>B55+B56</f>
        <v>-48718.675237060736</v>
      </c>
      <c r="C57" s="29">
        <f t="shared" ref="C57:Z57" si="7">C55+C56</f>
        <v>-48718.675237060736</v>
      </c>
      <c r="D57" s="29">
        <f t="shared" si="7"/>
        <v>-161218.67523706076</v>
      </c>
      <c r="E57" s="29">
        <f t="shared" si="7"/>
        <v>-256658.67523706076</v>
      </c>
      <c r="F57" s="29">
        <f t="shared" si="7"/>
        <v>-6467.8752370607308</v>
      </c>
      <c r="G57" s="29">
        <f t="shared" si="7"/>
        <v>38928.124762939267</v>
      </c>
      <c r="H57" s="29">
        <f t="shared" si="7"/>
        <v>84324.12476293926</v>
      </c>
      <c r="I57" s="29">
        <f t="shared" si="7"/>
        <v>129720.12476293926</v>
      </c>
      <c r="J57" s="29">
        <f t="shared" si="7"/>
        <v>144384.12476293926</v>
      </c>
      <c r="K57" s="29">
        <f t="shared" si="7"/>
        <v>144384.12476293926</v>
      </c>
      <c r="L57" s="29">
        <f t="shared" si="7"/>
        <v>144384.12476293926</v>
      </c>
      <c r="M57" s="29">
        <f t="shared" si="7"/>
        <v>144384.12476293926</v>
      </c>
      <c r="N57" s="29">
        <f t="shared" si="7"/>
        <v>144164.12476293926</v>
      </c>
      <c r="O57" s="29">
        <f t="shared" si="7"/>
        <v>144384.12476293926</v>
      </c>
      <c r="P57" s="29">
        <f t="shared" si="7"/>
        <v>144384.12476293926</v>
      </c>
      <c r="Q57" s="29">
        <f t="shared" si="7"/>
        <v>144384.12476293926</v>
      </c>
      <c r="R57" s="29">
        <f t="shared" si="7"/>
        <v>144384.12476293926</v>
      </c>
      <c r="S57" s="29">
        <f t="shared" si="7"/>
        <v>144384.12476293926</v>
      </c>
      <c r="T57" s="29">
        <f t="shared" si="7"/>
        <v>144384.12476293926</v>
      </c>
      <c r="U57" s="29">
        <f t="shared" si="7"/>
        <v>144384.12476293926</v>
      </c>
      <c r="V57" s="29">
        <f t="shared" si="7"/>
        <v>144384.12476293926</v>
      </c>
      <c r="W57" s="29">
        <f t="shared" si="7"/>
        <v>144384.12476293926</v>
      </c>
      <c r="X57" s="29">
        <f t="shared" si="7"/>
        <v>144384.12476293926</v>
      </c>
      <c r="Y57" s="29">
        <f t="shared" si="7"/>
        <v>144384.12476293926</v>
      </c>
      <c r="Z57" s="29">
        <f t="shared" si="7"/>
        <v>144164.12476293926</v>
      </c>
      <c r="AA57" s="29">
        <f t="shared" ref="AA57" si="8">AA55+AA56</f>
        <v>144384.12476293926</v>
      </c>
      <c r="AB57" s="29">
        <f t="shared" ref="AB57" si="9">AB55+AB56</f>
        <v>144384.12476293926</v>
      </c>
      <c r="AC57" s="29">
        <f t="shared" ref="AC57" si="10">AC55+AC56</f>
        <v>144384.12476293926</v>
      </c>
      <c r="AD57" s="29">
        <f t="shared" ref="AD57" si="11">AD55+AD56</f>
        <v>144384.12476293926</v>
      </c>
      <c r="AE57" s="29">
        <f t="shared" ref="AE57" si="12">AE55+AE56</f>
        <v>144384.12476293926</v>
      </c>
      <c r="AF57" s="29">
        <f t="shared" ref="AF57" si="13">AF55+AF56</f>
        <v>144384.12476293926</v>
      </c>
      <c r="AG57" s="29">
        <f t="shared" ref="AG57" si="14">AG55+AG56</f>
        <v>144384.12476293926</v>
      </c>
      <c r="AH57" s="29">
        <f t="shared" ref="AH57" si="15">AH55+AH56</f>
        <v>144384.12476293926</v>
      </c>
      <c r="AI57" s="29">
        <f t="shared" ref="AI57" si="16">AI55+AI56</f>
        <v>144384.12476293926</v>
      </c>
      <c r="AJ57" s="29">
        <f t="shared" ref="AJ57" si="17">AJ55+AJ56</f>
        <v>144384.12476293926</v>
      </c>
      <c r="AK57" s="29">
        <f t="shared" ref="AK57" si="18">AK55+AK56</f>
        <v>144384.12476293926</v>
      </c>
    </row>
    <row r="58" spans="1:37" x14ac:dyDescent="0.25">
      <c r="A58" t="s">
        <v>183</v>
      </c>
      <c r="B58" s="2">
        <f>IRR(B57:AK57)</f>
        <v>0.17048306909982891</v>
      </c>
    </row>
    <row r="59" spans="1:37" x14ac:dyDescent="0.25">
      <c r="A59" t="s">
        <v>185</v>
      </c>
      <c r="B59" s="23">
        <f>NPV(Inputs!B57,B57:AK57)</f>
        <v>1186435.5373903241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F6" activeCellId="1" sqref="F5 F6"/>
    </sheetView>
  </sheetViews>
  <sheetFormatPr defaultRowHeight="15" x14ac:dyDescent="0.25"/>
  <cols>
    <col min="2" max="2" width="11.85546875" bestFit="1" customWidth="1"/>
    <col min="3" max="3" width="24.42578125" bestFit="1" customWidth="1"/>
    <col min="7" max="7" width="19.140625" bestFit="1" customWidth="1"/>
  </cols>
  <sheetData>
    <row r="1" spans="2:8" x14ac:dyDescent="0.25">
      <c r="B1" t="s">
        <v>39</v>
      </c>
    </row>
    <row r="2" spans="2:8" x14ac:dyDescent="0.25">
      <c r="B2" s="10">
        <v>7500</v>
      </c>
      <c r="C2" t="s">
        <v>36</v>
      </c>
    </row>
    <row r="3" spans="2:8" x14ac:dyDescent="0.25">
      <c r="B3" s="10">
        <f>SUM(B5:B10)</f>
        <v>90</v>
      </c>
      <c r="C3" t="s">
        <v>40</v>
      </c>
    </row>
    <row r="4" spans="2:8" x14ac:dyDescent="0.25">
      <c r="B4" t="s">
        <v>78</v>
      </c>
      <c r="D4" t="s">
        <v>76</v>
      </c>
      <c r="E4" t="s">
        <v>48</v>
      </c>
      <c r="F4" s="3" t="s">
        <v>77</v>
      </c>
      <c r="G4" t="s">
        <v>49</v>
      </c>
    </row>
    <row r="5" spans="2:8" x14ac:dyDescent="0.25">
      <c r="B5" s="10">
        <v>24</v>
      </c>
      <c r="C5" t="s">
        <v>41</v>
      </c>
      <c r="D5" s="10">
        <v>75</v>
      </c>
      <c r="E5" s="10">
        <v>5</v>
      </c>
      <c r="F5">
        <f>D5/E5</f>
        <v>15</v>
      </c>
      <c r="G5">
        <f>F5*B5</f>
        <v>360</v>
      </c>
    </row>
    <row r="6" spans="2:8" x14ac:dyDescent="0.25">
      <c r="B6" s="10">
        <v>32</v>
      </c>
      <c r="C6" t="s">
        <v>42</v>
      </c>
      <c r="D6" s="10">
        <v>40</v>
      </c>
      <c r="E6" s="10">
        <v>5</v>
      </c>
      <c r="F6">
        <f t="shared" ref="F6:F10" si="0">D6/E6</f>
        <v>8</v>
      </c>
      <c r="G6">
        <f>F6*B6</f>
        <v>256</v>
      </c>
    </row>
    <row r="7" spans="2:8" x14ac:dyDescent="0.25">
      <c r="B7" s="10">
        <v>6</v>
      </c>
      <c r="C7" t="s">
        <v>43</v>
      </c>
      <c r="D7" s="10">
        <v>55</v>
      </c>
      <c r="E7" s="10">
        <v>1</v>
      </c>
      <c r="F7">
        <f t="shared" si="0"/>
        <v>55</v>
      </c>
      <c r="G7">
        <f>F7</f>
        <v>55</v>
      </c>
    </row>
    <row r="8" spans="2:8" x14ac:dyDescent="0.25">
      <c r="B8" s="10">
        <v>16</v>
      </c>
      <c r="C8" t="s">
        <v>44</v>
      </c>
      <c r="D8" s="10">
        <v>100</v>
      </c>
      <c r="E8" s="10">
        <v>1</v>
      </c>
      <c r="F8">
        <f t="shared" si="0"/>
        <v>100</v>
      </c>
      <c r="G8">
        <f>F8</f>
        <v>100</v>
      </c>
    </row>
    <row r="9" spans="2:8" x14ac:dyDescent="0.25">
      <c r="B9" s="10">
        <v>8</v>
      </c>
      <c r="C9" t="s">
        <v>45</v>
      </c>
      <c r="D9" s="10">
        <v>25</v>
      </c>
      <c r="E9" s="10">
        <v>5</v>
      </c>
      <c r="F9">
        <f t="shared" si="0"/>
        <v>5</v>
      </c>
      <c r="G9">
        <f>F9*B9</f>
        <v>40</v>
      </c>
    </row>
    <row r="10" spans="2:8" x14ac:dyDescent="0.25">
      <c r="B10" s="10">
        <v>4</v>
      </c>
      <c r="C10" t="s">
        <v>46</v>
      </c>
      <c r="D10" s="10">
        <v>35</v>
      </c>
      <c r="E10" s="10">
        <v>1</v>
      </c>
      <c r="F10">
        <f t="shared" si="0"/>
        <v>35</v>
      </c>
      <c r="G10">
        <f>F10</f>
        <v>35</v>
      </c>
    </row>
    <row r="11" spans="2:8" x14ac:dyDescent="0.25">
      <c r="G11">
        <f>SUM(G5:G10)</f>
        <v>846</v>
      </c>
      <c r="H11" t="s">
        <v>79</v>
      </c>
    </row>
    <row r="16" spans="2:8" x14ac:dyDescent="0.25">
      <c r="D16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8" sqref="E18"/>
    </sheetView>
  </sheetViews>
  <sheetFormatPr defaultRowHeight="15" x14ac:dyDescent="0.25"/>
  <cols>
    <col min="1" max="1" width="12.42578125" bestFit="1" customWidth="1"/>
    <col min="3" max="3" width="15.42578125" bestFit="1" customWidth="1"/>
    <col min="4" max="4" width="15" bestFit="1" customWidth="1"/>
    <col min="5" max="5" width="13.7109375" bestFit="1" customWidth="1"/>
  </cols>
  <sheetData>
    <row r="1" spans="1:5" x14ac:dyDescent="0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</row>
    <row r="2" spans="1:5" x14ac:dyDescent="0.25">
      <c r="A2" s="18" t="s">
        <v>88</v>
      </c>
      <c r="B2" t="s">
        <v>89</v>
      </c>
      <c r="C2" s="10">
        <v>4</v>
      </c>
      <c r="D2" s="10">
        <v>12</v>
      </c>
      <c r="E2" s="27">
        <v>25</v>
      </c>
    </row>
    <row r="3" spans="1:5" x14ac:dyDescent="0.25">
      <c r="A3" s="18" t="s">
        <v>90</v>
      </c>
      <c r="B3" t="s">
        <v>91</v>
      </c>
      <c r="C3" s="10">
        <v>6</v>
      </c>
      <c r="D3" s="10">
        <v>12</v>
      </c>
      <c r="E3" s="27">
        <v>25</v>
      </c>
    </row>
    <row r="4" spans="1:5" x14ac:dyDescent="0.25">
      <c r="A4" s="18" t="s">
        <v>92</v>
      </c>
      <c r="B4" s="19" t="s">
        <v>93</v>
      </c>
      <c r="C4" s="10">
        <v>12</v>
      </c>
      <c r="D4" s="10"/>
      <c r="E4" s="27">
        <v>20</v>
      </c>
    </row>
    <row r="5" spans="1:5" x14ac:dyDescent="0.25">
      <c r="A5" s="18" t="s">
        <v>94</v>
      </c>
      <c r="B5" s="19" t="s">
        <v>95</v>
      </c>
      <c r="C5" s="10">
        <v>14</v>
      </c>
      <c r="D5" s="10"/>
      <c r="E5" s="27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0" sqref="G20"/>
    </sheetView>
  </sheetViews>
  <sheetFormatPr defaultRowHeight="15" x14ac:dyDescent="0.25"/>
  <cols>
    <col min="2" max="3" width="10.5703125" bestFit="1" customWidth="1"/>
  </cols>
  <sheetData>
    <row r="1" spans="1:3" x14ac:dyDescent="0.25">
      <c r="A1" s="1" t="s">
        <v>78</v>
      </c>
      <c r="B1" s="1" t="s">
        <v>96</v>
      </c>
      <c r="C1" s="1" t="s">
        <v>97</v>
      </c>
    </row>
    <row r="2" spans="1:3" x14ac:dyDescent="0.25">
      <c r="A2" s="19" t="s">
        <v>98</v>
      </c>
      <c r="B2" s="26">
        <v>440</v>
      </c>
      <c r="C2" s="26">
        <v>220</v>
      </c>
    </row>
    <row r="3" spans="1:3" x14ac:dyDescent="0.25">
      <c r="A3" s="19" t="s">
        <v>99</v>
      </c>
      <c r="B3" s="26">
        <v>880</v>
      </c>
      <c r="C3" s="26">
        <v>440</v>
      </c>
    </row>
    <row r="4" spans="1:3" x14ac:dyDescent="0.25">
      <c r="A4" s="19" t="s">
        <v>100</v>
      </c>
      <c r="B4" s="26">
        <v>1100</v>
      </c>
      <c r="C4" s="26">
        <v>550</v>
      </c>
    </row>
    <row r="5" spans="1:3" x14ac:dyDescent="0.25">
      <c r="A5" s="19" t="s">
        <v>101</v>
      </c>
      <c r="B5" s="26">
        <v>1320</v>
      </c>
      <c r="C5" s="26">
        <v>660</v>
      </c>
    </row>
    <row r="6" spans="1:3" x14ac:dyDescent="0.25">
      <c r="A6" s="19" t="s">
        <v>102</v>
      </c>
      <c r="B6" s="26">
        <v>1760</v>
      </c>
      <c r="C6" s="26">
        <v>880</v>
      </c>
    </row>
    <row r="7" spans="1:3" x14ac:dyDescent="0.25">
      <c r="A7" s="19" t="s">
        <v>103</v>
      </c>
      <c r="B7" s="26">
        <v>2200</v>
      </c>
      <c r="C7" s="26">
        <v>1100</v>
      </c>
    </row>
    <row r="8" spans="1:3" x14ac:dyDescent="0.25">
      <c r="A8" s="19"/>
    </row>
    <row r="9" spans="1:3" x14ac:dyDescent="0.25">
      <c r="A9" s="19"/>
    </row>
    <row r="10" spans="1:3" x14ac:dyDescent="0.25">
      <c r="A10" s="19"/>
    </row>
    <row r="11" spans="1:3" x14ac:dyDescent="0.25">
      <c r="A11" s="19"/>
    </row>
    <row r="12" spans="1:3" x14ac:dyDescent="0.25">
      <c r="A12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RowHeight="15" x14ac:dyDescent="0.25"/>
  <cols>
    <col min="1" max="1" width="16.5703125" bestFit="1" customWidth="1"/>
    <col min="2" max="2" width="10.42578125" bestFit="1" customWidth="1"/>
  </cols>
  <sheetData>
    <row r="1" spans="1:2" s="1" customFormat="1" x14ac:dyDescent="0.25">
      <c r="A1" s="1" t="s">
        <v>104</v>
      </c>
      <c r="B1" s="1" t="s">
        <v>105</v>
      </c>
    </row>
    <row r="2" spans="1:2" x14ac:dyDescent="0.25">
      <c r="A2" t="s">
        <v>106</v>
      </c>
      <c r="B2" s="27">
        <v>16</v>
      </c>
    </row>
    <row r="3" spans="1:2" x14ac:dyDescent="0.25">
      <c r="A3" t="s">
        <v>107</v>
      </c>
      <c r="B3" s="27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C36" sqref="C36"/>
    </sheetView>
  </sheetViews>
  <sheetFormatPr defaultRowHeight="15" x14ac:dyDescent="0.25"/>
  <cols>
    <col min="2" max="2" width="29.7109375" bestFit="1" customWidth="1"/>
    <col min="3" max="3" width="14.28515625" customWidth="1"/>
    <col min="4" max="4" width="16.5703125" customWidth="1"/>
    <col min="5" max="5" width="17.28515625" customWidth="1"/>
    <col min="6" max="6" width="12.140625" customWidth="1"/>
    <col min="7" max="7" width="29.28515625" bestFit="1" customWidth="1"/>
    <col min="8" max="8" width="35.28515625" bestFit="1" customWidth="1"/>
  </cols>
  <sheetData>
    <row r="2" spans="2:8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</row>
    <row r="3" spans="2:8" x14ac:dyDescent="0.25">
      <c r="B3" t="s">
        <v>115</v>
      </c>
      <c r="C3" s="20">
        <v>900</v>
      </c>
      <c r="D3">
        <f>4*5</f>
        <v>20</v>
      </c>
      <c r="E3">
        <f>D3*$C$6</f>
        <v>200</v>
      </c>
      <c r="F3" s="21">
        <f>C3/E3</f>
        <v>4.5</v>
      </c>
      <c r="G3" s="21">
        <f>(1+H3)*F3</f>
        <v>5.4356435643564351</v>
      </c>
      <c r="H3" s="2">
        <f>H4</f>
        <v>0.20792079207920788</v>
      </c>
    </row>
    <row r="4" spans="2:8" x14ac:dyDescent="0.25">
      <c r="B4" t="s">
        <v>116</v>
      </c>
      <c r="C4" s="20">
        <v>700</v>
      </c>
      <c r="D4">
        <f>4*3</f>
        <v>12</v>
      </c>
      <c r="E4">
        <f>D4*$C$6</f>
        <v>120</v>
      </c>
      <c r="F4" s="21">
        <f>C4/E4</f>
        <v>5.833333333333333</v>
      </c>
      <c r="G4" s="21">
        <f>C18</f>
        <v>7.364583333333333</v>
      </c>
      <c r="H4" s="2">
        <f>1-(F4/G4)</f>
        <v>0.20792079207920788</v>
      </c>
    </row>
    <row r="6" spans="2:8" x14ac:dyDescent="0.25">
      <c r="B6" t="s">
        <v>117</v>
      </c>
      <c r="C6" s="22">
        <v>10</v>
      </c>
      <c r="D6" t="s">
        <v>118</v>
      </c>
    </row>
    <row r="8" spans="2:8" x14ac:dyDescent="0.25">
      <c r="B8" t="s">
        <v>119</v>
      </c>
      <c r="C8" s="20">
        <v>35</v>
      </c>
    </row>
    <row r="9" spans="2:8" x14ac:dyDescent="0.25">
      <c r="B9" t="s">
        <v>120</v>
      </c>
      <c r="C9" s="20">
        <v>7</v>
      </c>
    </row>
    <row r="11" spans="2:8" x14ac:dyDescent="0.25">
      <c r="B11" t="s">
        <v>121</v>
      </c>
    </row>
    <row r="12" spans="2:8" x14ac:dyDescent="0.25">
      <c r="B12" t="s">
        <v>122</v>
      </c>
      <c r="C12" s="22">
        <v>3</v>
      </c>
    </row>
    <row r="13" spans="2:8" x14ac:dyDescent="0.25">
      <c r="B13" t="s">
        <v>123</v>
      </c>
      <c r="C13" s="22">
        <v>8</v>
      </c>
    </row>
    <row r="14" spans="2:8" x14ac:dyDescent="0.25">
      <c r="B14" t="s">
        <v>124</v>
      </c>
      <c r="C14">
        <f>C12*4</f>
        <v>12</v>
      </c>
    </row>
    <row r="15" spans="2:8" x14ac:dyDescent="0.25">
      <c r="B15" t="s">
        <v>125</v>
      </c>
      <c r="C15">
        <f>C13*C14</f>
        <v>96</v>
      </c>
    </row>
    <row r="16" spans="2:8" x14ac:dyDescent="0.25">
      <c r="B16" t="s">
        <v>126</v>
      </c>
      <c r="C16" s="23">
        <f>C15*C9</f>
        <v>672</v>
      </c>
    </row>
    <row r="17" spans="2:3" x14ac:dyDescent="0.25">
      <c r="B17" t="s">
        <v>127</v>
      </c>
      <c r="C17" s="23">
        <f>C16+C8</f>
        <v>707</v>
      </c>
    </row>
    <row r="18" spans="2:3" x14ac:dyDescent="0.25">
      <c r="B18" t="s">
        <v>128</v>
      </c>
      <c r="C18" s="21">
        <f>C17/C15</f>
        <v>7.364583333333333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Inputs</vt:lpstr>
      <vt:lpstr>Office P&amp;L</vt:lpstr>
      <vt:lpstr>Daycare P&amp;L</vt:lpstr>
      <vt:lpstr>Valuation</vt:lpstr>
      <vt:lpstr>BlankSpaces Info</vt:lpstr>
      <vt:lpstr>Required Daycare Ratio</vt:lpstr>
      <vt:lpstr>State Fees</vt:lpstr>
      <vt:lpstr>Salaries</vt:lpstr>
      <vt:lpstr>Hourly Rate on-demand</vt:lpstr>
      <vt:lpstr>Simplified P&amp;L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Adam Grayson</cp:lastModifiedBy>
  <dcterms:created xsi:type="dcterms:W3CDTF">2011-11-27T04:10:20Z</dcterms:created>
  <dcterms:modified xsi:type="dcterms:W3CDTF">2011-11-30T19:41:17Z</dcterms:modified>
</cp:coreProperties>
</file>