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Main" sheetId="1" r:id="rId1"/>
    <sheet name="Formulas" sheetId="2" r:id="rId2"/>
    <sheet name="Calc1" sheetId="3" r:id="rId3"/>
  </sheets>
  <definedNames>
    <definedName name="eqa" localSheetId="1">'Formulas'!$C$2</definedName>
    <definedName name="ref" localSheetId="1">'Formulas'!$B$24</definedName>
  </definedNames>
  <calcPr fullCalcOnLoad="1"/>
</workbook>
</file>

<file path=xl/sharedStrings.xml><?xml version="1.0" encoding="utf-8"?>
<sst xmlns="http://schemas.openxmlformats.org/spreadsheetml/2006/main" count="186" uniqueCount="139">
  <si>
    <t>Small Magnetic Loop Antenna Calculator ver. 1.22a</t>
  </si>
  <si>
    <t>by Steve Yates</t>
  </si>
  <si>
    <t>AA5TB</t>
  </si>
  <si>
    <t>aa5tb@yahoo.com</t>
  </si>
  <si>
    <t>Updated April 28, 2009</t>
  </si>
  <si>
    <t>Input the following parameters:</t>
  </si>
  <si>
    <t>Design Frequency =</t>
  </si>
  <si>
    <t>MHz</t>
  </si>
  <si>
    <t>Loop Diameter =</t>
  </si>
  <si>
    <t>feet</t>
  </si>
  <si>
    <t>m</t>
  </si>
  <si>
    <t>Conductor Diameter =</t>
  </si>
  <si>
    <t>inches</t>
  </si>
  <si>
    <t>mm</t>
  </si>
  <si>
    <t>Added Loss Resistance =</t>
  </si>
  <si>
    <t>milliohms</t>
  </si>
  <si>
    <t xml:space="preserve">RF Power = </t>
  </si>
  <si>
    <t>Watts</t>
  </si>
  <si>
    <t>Calculated Results:</t>
  </si>
  <si>
    <t>Bandwidth =</t>
  </si>
  <si>
    <t>kHz (-3 dB points)</t>
  </si>
  <si>
    <t>Efficiency =</t>
  </si>
  <si>
    <t>%</t>
  </si>
  <si>
    <t>dB</t>
  </si>
  <si>
    <t>Loop Area =</t>
  </si>
  <si>
    <t>ft²</t>
  </si>
  <si>
    <t>m²</t>
  </si>
  <si>
    <t>Radiation Resistance =</t>
  </si>
  <si>
    <t>mΩ</t>
  </si>
  <si>
    <t>Total Loss Resistance =</t>
  </si>
  <si>
    <t>Loop Circumference =</t>
  </si>
  <si>
    <t xml:space="preserve">ft </t>
  </si>
  <si>
    <t>Wavelength Percentage =</t>
  </si>
  <si>
    <t>% λ</t>
  </si>
  <si>
    <t>Loop Inductance =</t>
  </si>
  <si>
    <t>μH</t>
  </si>
  <si>
    <t>Distributed Capacitance =</t>
  </si>
  <si>
    <t>pF</t>
  </si>
  <si>
    <t>Q (Quality Factor) =</t>
  </si>
  <si>
    <t>Tuning Capacitor =</t>
  </si>
  <si>
    <t>Capacitor Voltage =</t>
  </si>
  <si>
    <t>V</t>
  </si>
  <si>
    <t>Minimum Plate Spacing =</t>
  </si>
  <si>
    <t>mils (1/1000 in)</t>
  </si>
  <si>
    <t>Notes:</t>
  </si>
  <si>
    <r>
      <t xml:space="preserve">1. To truly be considered a small loop, the </t>
    </r>
    <r>
      <rPr>
        <b/>
        <sz val="10"/>
        <rFont val="Arial"/>
        <family val="2"/>
      </rPr>
      <t>Loop Circumference</t>
    </r>
    <r>
      <rPr>
        <sz val="10"/>
        <rFont val="Arial"/>
        <family val="2"/>
      </rPr>
      <t xml:space="preserve"> should be less </t>
    </r>
  </si>
  <si>
    <t xml:space="preserve">    then 10 % λ.  Larger loops will have greater efficiency but smaller nulls. </t>
  </si>
  <si>
    <r>
      <t xml:space="preserve">2. To see the effects of bad joints, etc., input realistic values into the </t>
    </r>
    <r>
      <rPr>
        <b/>
        <sz val="10"/>
        <rFont val="Arial"/>
        <family val="2"/>
      </rPr>
      <t xml:space="preserve">Added  </t>
    </r>
  </si>
  <si>
    <r>
      <t xml:space="preserve">    Loss Resistance</t>
    </r>
    <r>
      <rPr>
        <sz val="10"/>
        <rFont val="Arial"/>
        <family val="2"/>
      </rPr>
      <t xml:space="preserve"> box.</t>
    </r>
  </si>
  <si>
    <t>3. The sheets are protected to prevent the user that is unfamiliar with Excel from</t>
  </si>
  <si>
    <r>
      <t xml:space="preserve">    accidentally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corrupting formulas.  To unlock the sheets use the password </t>
    </r>
    <r>
      <rPr>
        <b/>
        <sz val="10"/>
        <rFont val="Arial"/>
        <family val="2"/>
      </rPr>
      <t>aa5tb</t>
    </r>
    <r>
      <rPr>
        <sz val="10"/>
        <rFont val="Arial"/>
        <family val="2"/>
      </rPr>
      <t>.</t>
    </r>
  </si>
  <si>
    <t>4. This application is free to use as you wish.  If you modify it and pass it on all</t>
  </si>
  <si>
    <r>
      <t xml:space="preserve">    </t>
    </r>
    <r>
      <rPr>
        <sz val="10"/>
        <rFont val="Arial"/>
        <family val="2"/>
      </rPr>
      <t>that I ask is that you give me credit for my part of the work. Thanks!</t>
    </r>
  </si>
  <si>
    <t>Small Loop Equations for a Copper Loop</t>
  </si>
  <si>
    <t xml:space="preserve">(circular loop assumed, results may vary with other shapes) </t>
  </si>
  <si>
    <r>
      <t>Radiation Resistance, Ohms: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= (3.38×10↑-8)(f²A)²</t>
    </r>
  </si>
  <si>
    <r>
      <t>Loss Resistance, Ohms: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(9.96×10↑-4)(√f)(S/d)</t>
    </r>
  </si>
  <si>
    <r>
      <t>Efficiency: η =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/(R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+R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</si>
  <si>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Inductance, Henrys: L = (1.9×10↑-8)S[7.353log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(96S/πd)-6.386]</t>
    </r>
  </si>
  <si>
    <r>
      <t>Inductive Reactance, Ohms: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2πf(L×10↑6)</t>
    </r>
  </si>
  <si>
    <r>
      <t>Tuning Capacitor, Farads: C</t>
    </r>
    <r>
      <rPr>
        <sz val="7.5"/>
        <rFont val="Comic Sans MS"/>
        <family val="4"/>
      </rPr>
      <t>T</t>
    </r>
    <r>
      <rPr>
        <sz val="10"/>
        <rFont val="Comic Sans MS"/>
        <family val="4"/>
      </rPr>
      <t xml:space="preserve"> = 1/2πf(X</t>
    </r>
    <r>
      <rPr>
        <sz val="8"/>
        <rFont val="Comic Sans MS"/>
        <family val="4"/>
      </rPr>
      <t>L</t>
    </r>
    <r>
      <rPr>
        <sz val="10"/>
        <rFont val="Comic Sans MS"/>
        <family val="4"/>
      </rPr>
      <t>×10↑6)</t>
    </r>
  </si>
  <si>
    <r>
      <t>Quality Factor: Q = (f×10↑6)/Δf =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/2(R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</si>
  <si>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t>Bandwidth, Hertz: Δf = (f×10↑6)/Q = [(f</t>
    </r>
    <r>
      <rPr>
        <sz val="7.5"/>
        <rFont val="Comic Sans MS"/>
        <family val="4"/>
      </rPr>
      <t>1</t>
    </r>
    <r>
      <rPr>
        <sz val="10"/>
        <rFont val="Comic Sans MS"/>
        <family val="4"/>
      </rPr>
      <t>-f</t>
    </r>
    <r>
      <rPr>
        <sz val="7.5"/>
        <rFont val="Comic Sans MS"/>
        <family val="4"/>
      </rPr>
      <t>2</t>
    </r>
    <r>
      <rPr>
        <sz val="10"/>
        <rFont val="Comic Sans MS"/>
        <family val="4"/>
      </rPr>
      <t>)×10↑6]</t>
    </r>
  </si>
  <si>
    <r>
      <t>Distributed Capacity: pF: C</t>
    </r>
    <r>
      <rPr>
        <sz val="7.5"/>
        <rFont val="Comic Sans MS"/>
        <family val="4"/>
      </rPr>
      <t>D</t>
    </r>
    <r>
      <rPr>
        <sz val="10"/>
        <rFont val="Comic Sans MS"/>
        <family val="4"/>
      </rPr>
      <t xml:space="preserve"> = 0.82S</t>
    </r>
  </si>
  <si>
    <r>
      <t>Capacitor Potential, Volts: V</t>
    </r>
    <r>
      <rPr>
        <sz val="7.5"/>
        <rFont val="Comic Sans MS"/>
        <family val="4"/>
      </rPr>
      <t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Q)</t>
    </r>
  </si>
  <si>
    <t>Capacitor Voltage Rating: 75,000V/in</t>
  </si>
  <si>
    <t xml:space="preserve">where </t>
  </si>
  <si>
    <t>f = operating frequency, MHz</t>
  </si>
  <si>
    <t>A = area of loop, square feet</t>
  </si>
  <si>
    <t>S = conductor length, feet</t>
  </si>
  <si>
    <t>d = conductor diameter, inches</t>
  </si>
  <si>
    <r>
      <t>η = decimal value; dB = 10 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η</t>
    </r>
  </si>
  <si>
    <t>P = transmitter power, Watts</t>
  </si>
  <si>
    <t xml:space="preserve">Ref. </t>
  </si>
  <si>
    <t xml:space="preserve">The American Radio Relay League, The ARRL Antenna Handbook, </t>
  </si>
  <si>
    <t xml:space="preserve">Small High Efficiency Loop Antennas for Transmitting,  </t>
  </si>
  <si>
    <t>Publication No. 15, p. 5-14, Table 4, 1988</t>
  </si>
  <si>
    <t>Givens:</t>
  </si>
  <si>
    <r>
      <t>π</t>
    </r>
    <r>
      <rPr>
        <sz val="10"/>
        <rFont val="Arial"/>
        <family val="2"/>
      </rPr>
      <t xml:space="preserve"> =</t>
    </r>
  </si>
  <si>
    <r>
      <t xml:space="preserve">Loop Diameter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=</t>
    </r>
  </si>
  <si>
    <r>
      <t xml:space="preserve">Conductor Diameter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=</t>
    </r>
  </si>
  <si>
    <r>
      <t xml:space="preserve">Added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</t>
    </r>
    <r>
      <rPr>
        <sz val="10"/>
        <rFont val="Arial"/>
        <family val="2"/>
      </rPr>
      <t>=</t>
    </r>
  </si>
  <si>
    <t>Ω</t>
  </si>
  <si>
    <r>
      <t xml:space="preserve">RF Power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=</t>
    </r>
  </si>
  <si>
    <r>
      <t xml:space="preserve">Frequency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=</t>
    </r>
  </si>
  <si>
    <t>Hz</t>
  </si>
  <si>
    <t>Calculations:</t>
  </si>
  <si>
    <r>
      <t xml:space="preserve">Loop Circumference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 </t>
    </r>
  </si>
  <si>
    <t>ft</t>
  </si>
  <si>
    <r>
      <t xml:space="preserve">Loop Area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=</t>
    </r>
  </si>
  <si>
    <r>
      <t xml:space="preserve">Radiation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R</t>
    </r>
    <r>
      <rPr>
        <sz val="10"/>
        <rFont val="Arial"/>
        <family val="2"/>
      </rPr>
      <t>=</t>
    </r>
  </si>
  <si>
    <r>
      <t xml:space="preserve">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L=</t>
    </r>
  </si>
  <si>
    <r>
      <t xml:space="preserve">Total Loss Resistance </t>
    </r>
    <r>
      <rPr>
        <b/>
        <sz val="10"/>
        <rFont val="Arial"/>
        <family val="2"/>
      </rPr>
      <t>R</t>
    </r>
    <r>
      <rPr>
        <b/>
        <sz val="8"/>
        <rFont val="Arial"/>
        <family val="2"/>
      </rPr>
      <t>T</t>
    </r>
    <r>
      <rPr>
        <sz val="10"/>
        <rFont val="Arial"/>
        <family val="2"/>
      </rPr>
      <t>=</t>
    </r>
  </si>
  <si>
    <r>
      <t xml:space="preserve">Efficiency </t>
    </r>
    <r>
      <rPr>
        <b/>
        <sz val="10"/>
        <rFont val="Arial"/>
        <family val="2"/>
      </rPr>
      <t>η</t>
    </r>
    <r>
      <rPr>
        <sz val="10"/>
        <rFont val="Arial"/>
        <family val="2"/>
      </rPr>
      <t>=</t>
    </r>
  </si>
  <si>
    <r>
      <t xml:space="preserve">Inductance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=</t>
    </r>
  </si>
  <si>
    <t>H</t>
  </si>
  <si>
    <r>
      <t xml:space="preserve">Inductive Reactance </t>
    </r>
    <r>
      <rPr>
        <b/>
        <sz val="10"/>
        <rFont val="Arial"/>
        <family val="2"/>
      </rPr>
      <t>X</t>
    </r>
    <r>
      <rPr>
        <b/>
        <sz val="8"/>
        <rFont val="Arial"/>
        <family val="2"/>
      </rPr>
      <t>L</t>
    </r>
    <r>
      <rPr>
        <sz val="10"/>
        <rFont val="Arial"/>
        <family val="2"/>
      </rPr>
      <t>=</t>
    </r>
  </si>
  <si>
    <r>
      <t xml:space="preserve">Tuning Capacitor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>T</t>
    </r>
    <r>
      <rPr>
        <sz val="10"/>
        <rFont val="Arial"/>
        <family val="2"/>
      </rPr>
      <t>=</t>
    </r>
  </si>
  <si>
    <t>F</t>
  </si>
  <si>
    <t>ρF</t>
  </si>
  <si>
    <r>
      <t xml:space="preserve">Quality Factor 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>=</t>
    </r>
  </si>
  <si>
    <r>
      <t xml:space="preserve">Bandwidth </t>
    </r>
    <r>
      <rPr>
        <b/>
        <sz val="8"/>
        <rFont val="Arial"/>
        <family val="2"/>
      </rPr>
      <t>Δ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 </t>
    </r>
  </si>
  <si>
    <t>kHz</t>
  </si>
  <si>
    <r>
      <t>Distributed Capacity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D</t>
    </r>
    <r>
      <rPr>
        <sz val="10"/>
        <rFont val="Arial"/>
        <family val="2"/>
      </rPr>
      <t>=</t>
    </r>
  </si>
  <si>
    <r>
      <t xml:space="preserve">Capacitor Potential </t>
    </r>
    <r>
      <rPr>
        <b/>
        <sz val="10"/>
        <rFont val="Arial"/>
        <family val="2"/>
      </rPr>
      <t>V</t>
    </r>
    <r>
      <rPr>
        <b/>
        <sz val="8"/>
        <rFont val="Arial"/>
        <family val="2"/>
      </rPr>
      <t>C</t>
    </r>
    <r>
      <rPr>
        <sz val="10"/>
        <rFont val="Arial"/>
        <family val="2"/>
      </rPr>
      <t>=</t>
    </r>
  </si>
  <si>
    <r>
      <t xml:space="preserve">Minimum Plate Spacing 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S</t>
    </r>
    <r>
      <rPr>
        <sz val="10"/>
        <rFont val="Arial"/>
        <family val="2"/>
      </rPr>
      <t>=</t>
    </r>
  </si>
  <si>
    <t>in</t>
  </si>
  <si>
    <t>mils</t>
  </si>
  <si>
    <r>
      <t xml:space="preserve">Wavelength </t>
    </r>
    <r>
      <rPr>
        <b/>
        <sz val="10"/>
        <rFont val="Arial"/>
        <family val="2"/>
      </rPr>
      <t>λ</t>
    </r>
    <r>
      <rPr>
        <sz val="10"/>
        <rFont val="Arial"/>
        <family val="2"/>
      </rPr>
      <t>=</t>
    </r>
  </si>
  <si>
    <r>
      <t xml:space="preserve">Circumference % </t>
    </r>
    <r>
      <rPr>
        <b/>
        <sz val="10"/>
        <rFont val="Arial"/>
        <family val="2"/>
      </rPr>
      <t>λ</t>
    </r>
    <r>
      <rPr>
        <sz val="10"/>
        <rFont val="Arial"/>
        <family val="2"/>
      </rPr>
      <t>=</t>
    </r>
  </si>
  <si>
    <t>Radiation</t>
  </si>
  <si>
    <t>Loss</t>
  </si>
  <si>
    <t>Total Loss</t>
  </si>
  <si>
    <t>Inductive</t>
  </si>
  <si>
    <t>Tuning</t>
  </si>
  <si>
    <t>Quality</t>
  </si>
  <si>
    <t>Capacitor</t>
  </si>
  <si>
    <t>Minimum</t>
  </si>
  <si>
    <t>Frequency</t>
  </si>
  <si>
    <t>Resistance</t>
  </si>
  <si>
    <t>Efficiency</t>
  </si>
  <si>
    <t>Reactance</t>
  </si>
  <si>
    <t>Factor</t>
  </si>
  <si>
    <t>Bandwidth</t>
  </si>
  <si>
    <t>Potential</t>
  </si>
  <si>
    <t>Spacing</t>
  </si>
  <si>
    <t>Wavelength</t>
  </si>
  <si>
    <t>Circumference</t>
  </si>
  <si>
    <r>
      <t>R</t>
    </r>
    <r>
      <rPr>
        <b/>
        <sz val="8"/>
        <rFont val="Arial"/>
        <family val="2"/>
      </rPr>
      <t>R</t>
    </r>
  </si>
  <si>
    <r>
      <t>R</t>
    </r>
    <r>
      <rPr>
        <b/>
        <sz val="8"/>
        <rFont val="Arial"/>
        <family val="2"/>
      </rPr>
      <t>L</t>
    </r>
  </si>
  <si>
    <r>
      <t>R</t>
    </r>
    <r>
      <rPr>
        <b/>
        <sz val="8"/>
        <rFont val="Arial"/>
        <family val="2"/>
      </rPr>
      <t>T</t>
    </r>
  </si>
  <si>
    <t>η</t>
  </si>
  <si>
    <r>
      <t>X</t>
    </r>
    <r>
      <rPr>
        <b/>
        <sz val="8"/>
        <rFont val="Arial"/>
        <family val="2"/>
      </rPr>
      <t>L</t>
    </r>
  </si>
  <si>
    <r>
      <t>C</t>
    </r>
    <r>
      <rPr>
        <b/>
        <sz val="8"/>
        <rFont val="Arial"/>
        <family val="2"/>
      </rPr>
      <t>T</t>
    </r>
  </si>
  <si>
    <t>Q</t>
  </si>
  <si>
    <r>
      <t>Δ</t>
    </r>
    <r>
      <rPr>
        <b/>
        <sz val="10"/>
        <rFont val="Arial"/>
        <family val="2"/>
      </rPr>
      <t>F</t>
    </r>
  </si>
  <si>
    <r>
      <t>V</t>
    </r>
    <r>
      <rPr>
        <b/>
        <sz val="8"/>
        <rFont val="Arial"/>
        <family val="2"/>
      </rPr>
      <t>C</t>
    </r>
  </si>
  <si>
    <r>
      <t>P</t>
    </r>
    <r>
      <rPr>
        <b/>
        <sz val="8"/>
        <rFont val="Arial"/>
        <family val="2"/>
      </rPr>
      <t>S</t>
    </r>
  </si>
  <si>
    <t>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</si>
</sst>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0.0000000"/>
    <numFmt numFmtId="168" formatCode="0.00000000000"/>
  </numFmts>
  <fonts count="2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8.25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17"/>
      <name val="Arial"/>
      <family val="2"/>
    </font>
    <font>
      <i/>
      <sz val="10"/>
      <color indexed="17"/>
      <name val="Comic Sans MS"/>
      <family val="4"/>
    </font>
    <font>
      <sz val="10"/>
      <name val="Comic Sans MS"/>
      <family val="4"/>
    </font>
    <font>
      <sz val="7.5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10"/>
      <color indexed="17"/>
      <name val="Arial"/>
      <family val="2"/>
    </font>
    <font>
      <sz val="10"/>
      <color indexed="17"/>
      <name val="Comic Sans MS"/>
      <family val="4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 horizontal="right"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3" fillId="2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/>
    </xf>
    <xf numFmtId="164" fontId="4" fillId="2" borderId="0" xfId="20" applyNumberFormat="1" applyFont="1" applyFill="1" applyBorder="1" applyAlignment="1" applyProtection="1">
      <alignment horizontal="center"/>
      <protection/>
    </xf>
    <xf numFmtId="164" fontId="5" fillId="2" borderId="0" xfId="0" applyFont="1" applyFill="1" applyAlignment="1" applyProtection="1">
      <alignment horizontal="center"/>
      <protection locked="0"/>
    </xf>
    <xf numFmtId="164" fontId="5" fillId="2" borderId="0" xfId="0" applyFont="1" applyFill="1" applyAlignment="1" applyProtection="1">
      <alignment/>
      <protection locked="0"/>
    </xf>
    <xf numFmtId="164" fontId="0" fillId="2" borderId="0" xfId="0" applyFill="1" applyAlignment="1" applyProtection="1">
      <alignment horizontal="right"/>
      <protection/>
    </xf>
    <xf numFmtId="164" fontId="0" fillId="2" borderId="1" xfId="0" applyFill="1" applyBorder="1" applyAlignment="1" applyProtection="1">
      <alignment/>
      <protection/>
    </xf>
    <xf numFmtId="164" fontId="1" fillId="2" borderId="2" xfId="0" applyFont="1" applyFill="1" applyBorder="1" applyAlignment="1" applyProtection="1">
      <alignment horizontal="right"/>
      <protection/>
    </xf>
    <xf numFmtId="165" fontId="1" fillId="3" borderId="3" xfId="0" applyNumberFormat="1" applyFont="1" applyFill="1" applyBorder="1" applyAlignment="1" applyProtection="1">
      <alignment horizontal="right"/>
      <protection locked="0"/>
    </xf>
    <xf numFmtId="164" fontId="0" fillId="2" borderId="3" xfId="0" applyFont="1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5" fontId="1" fillId="2" borderId="3" xfId="0" applyNumberFormat="1" applyFont="1" applyFill="1" applyBorder="1" applyAlignment="1" applyProtection="1">
      <alignment/>
      <protection/>
    </xf>
    <xf numFmtId="164" fontId="0" fillId="2" borderId="4" xfId="0" applyFont="1" applyFill="1" applyBorder="1" applyAlignment="1" applyProtection="1">
      <alignment horizontal="left"/>
      <protection/>
    </xf>
    <xf numFmtId="164" fontId="1" fillId="2" borderId="5" xfId="0" applyFont="1" applyFill="1" applyBorder="1" applyAlignment="1" applyProtection="1">
      <alignment horizontal="right"/>
      <protection/>
    </xf>
    <xf numFmtId="165" fontId="1" fillId="3" borderId="1" xfId="0" applyNumberFormat="1" applyFont="1" applyFill="1" applyBorder="1" applyAlignment="1" applyProtection="1">
      <alignment horizontal="right"/>
      <protection locked="0"/>
    </xf>
    <xf numFmtId="164" fontId="0" fillId="2" borderId="0" xfId="0" applyFont="1" applyFill="1" applyBorder="1" applyAlignment="1" applyProtection="1">
      <alignment/>
      <protection/>
    </xf>
    <xf numFmtId="165" fontId="1" fillId="4" borderId="3" xfId="0" applyNumberFormat="1" applyFont="1" applyFill="1" applyBorder="1" applyAlignment="1" applyProtection="1">
      <alignment horizontal="right"/>
      <protection/>
    </xf>
    <xf numFmtId="164" fontId="0" fillId="4" borderId="3" xfId="0" applyFont="1" applyFill="1" applyBorder="1" applyAlignment="1" applyProtection="1">
      <alignment/>
      <protection/>
    </xf>
    <xf numFmtId="164" fontId="1" fillId="4" borderId="3" xfId="0" applyFont="1" applyFill="1" applyBorder="1" applyAlignment="1" applyProtection="1">
      <alignment/>
      <protection/>
    </xf>
    <xf numFmtId="164" fontId="0" fillId="4" borderId="4" xfId="0" applyFill="1" applyBorder="1" applyAlignment="1" applyProtection="1">
      <alignment/>
      <protection/>
    </xf>
    <xf numFmtId="165" fontId="1" fillId="4" borderId="3" xfId="0" applyNumberFormat="1" applyFont="1" applyFill="1" applyBorder="1" applyAlignment="1" applyProtection="1">
      <alignment/>
      <protection/>
    </xf>
    <xf numFmtId="164" fontId="0" fillId="4" borderId="4" xfId="0" applyFont="1" applyFill="1" applyBorder="1" applyAlignment="1" applyProtection="1">
      <alignment/>
      <protection/>
    </xf>
    <xf numFmtId="164" fontId="0" fillId="4" borderId="1" xfId="0" applyFill="1" applyBorder="1" applyAlignment="1" applyProtection="1">
      <alignment/>
      <protection/>
    </xf>
    <xf numFmtId="164" fontId="0" fillId="4" borderId="6" xfId="0" applyFill="1" applyBorder="1" applyAlignment="1" applyProtection="1">
      <alignment/>
      <protection/>
    </xf>
    <xf numFmtId="165" fontId="6" fillId="4" borderId="3" xfId="0" applyNumberFormat="1" applyFont="1" applyFill="1" applyBorder="1" applyAlignment="1">
      <alignment/>
    </xf>
    <xf numFmtId="164" fontId="7" fillId="4" borderId="4" xfId="0" applyFont="1" applyFill="1" applyBorder="1" applyAlignment="1">
      <alignment/>
    </xf>
    <xf numFmtId="164" fontId="7" fillId="4" borderId="3" xfId="0" applyFont="1" applyFill="1" applyBorder="1" applyAlignment="1" applyProtection="1">
      <alignment/>
      <protection/>
    </xf>
    <xf numFmtId="165" fontId="1" fillId="4" borderId="1" xfId="0" applyNumberFormat="1" applyFont="1" applyFill="1" applyBorder="1" applyAlignment="1" applyProtection="1">
      <alignment/>
      <protection/>
    </xf>
    <xf numFmtId="164" fontId="0" fillId="2" borderId="0" xfId="0" applyFill="1" applyAlignment="1" applyProtection="1">
      <alignment/>
      <protection locked="0"/>
    </xf>
    <xf numFmtId="165" fontId="1" fillId="4" borderId="1" xfId="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 applyProtection="1">
      <alignment/>
      <protection/>
    </xf>
    <xf numFmtId="164" fontId="0" fillId="4" borderId="6" xfId="0" applyFont="1" applyFill="1" applyBorder="1" applyAlignment="1" applyProtection="1">
      <alignment horizontal="left"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ill="1" applyBorder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4" fontId="0" fillId="2" borderId="0" xfId="0" applyFill="1" applyAlignment="1" applyProtection="1">
      <alignment horizontal="right"/>
      <protection locked="0"/>
    </xf>
    <xf numFmtId="164" fontId="0" fillId="2" borderId="0" xfId="0" applyFont="1" applyFill="1" applyAlignment="1" applyProtection="1">
      <alignment/>
      <protection locked="0"/>
    </xf>
    <xf numFmtId="164" fontId="12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4" fillId="2" borderId="0" xfId="0" applyFont="1" applyFill="1" applyAlignment="1">
      <alignment/>
    </xf>
    <xf numFmtId="164" fontId="17" fillId="2" borderId="0" xfId="0" applyFont="1" applyFill="1" applyAlignment="1">
      <alignment/>
    </xf>
    <xf numFmtId="164" fontId="18" fillId="2" borderId="0" xfId="0" applyFont="1" applyFill="1" applyAlignment="1">
      <alignment horizontal="right"/>
    </xf>
    <xf numFmtId="164" fontId="19" fillId="2" borderId="0" xfId="0" applyFont="1" applyFill="1" applyAlignment="1">
      <alignment horizontal="left"/>
    </xf>
    <xf numFmtId="167" fontId="0" fillId="2" borderId="0" xfId="0" applyNumberFormat="1" applyFill="1" applyAlignment="1">
      <alignment/>
    </xf>
    <xf numFmtId="164" fontId="20" fillId="2" borderId="0" xfId="0" applyFont="1" applyFill="1" applyAlignment="1">
      <alignment/>
    </xf>
    <xf numFmtId="164" fontId="1" fillId="2" borderId="7" xfId="0" applyFont="1" applyFill="1" applyBorder="1" applyAlignment="1">
      <alignment horizontal="right"/>
    </xf>
    <xf numFmtId="168" fontId="7" fillId="3" borderId="8" xfId="0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167" fontId="7" fillId="3" borderId="3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164" fontId="0" fillId="2" borderId="2" xfId="0" applyFont="1" applyFill="1" applyBorder="1" applyAlignment="1">
      <alignment horizontal="right"/>
    </xf>
    <xf numFmtId="167" fontId="7" fillId="3" borderId="2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6" xfId="0" applyNumberFormat="1" applyFont="1" applyFill="1" applyBorder="1" applyAlignment="1">
      <alignment/>
    </xf>
    <xf numFmtId="167" fontId="7" fillId="3" borderId="8" xfId="0" applyNumberFormat="1" applyFont="1" applyFill="1" applyBorder="1" applyAlignment="1">
      <alignment/>
    </xf>
    <xf numFmtId="166" fontId="7" fillId="3" borderId="3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167" fontId="6" fillId="5" borderId="2" xfId="0" applyNumberFormat="1" applyFont="1" applyFill="1" applyBorder="1" applyAlignment="1">
      <alignment/>
    </xf>
    <xf numFmtId="167" fontId="6" fillId="5" borderId="3" xfId="0" applyNumberFormat="1" applyFont="1" applyFill="1" applyBorder="1" applyAlignment="1">
      <alignment/>
    </xf>
    <xf numFmtId="167" fontId="7" fillId="5" borderId="3" xfId="0" applyNumberFormat="1" applyFont="1" applyFill="1" applyBorder="1" applyAlignment="1">
      <alignment/>
    </xf>
    <xf numFmtId="167" fontId="7" fillId="5" borderId="9" xfId="0" applyNumberFormat="1" applyFont="1" applyFill="1" applyBorder="1" applyAlignment="1">
      <alignment/>
    </xf>
    <xf numFmtId="167" fontId="7" fillId="5" borderId="10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167" fontId="7" fillId="5" borderId="2" xfId="0" applyNumberFormat="1" applyFont="1" applyFill="1" applyBorder="1" applyAlignment="1">
      <alignment/>
    </xf>
    <xf numFmtId="167" fontId="6" fillId="5" borderId="9" xfId="0" applyNumberFormat="1" applyFont="1" applyFill="1" applyBorder="1" applyAlignment="1">
      <alignment/>
    </xf>
    <xf numFmtId="167" fontId="7" fillId="5" borderId="5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/>
    </xf>
    <xf numFmtId="167" fontId="6" fillId="5" borderId="1" xfId="0" applyNumberFormat="1" applyFont="1" applyFill="1" applyBorder="1" applyAlignment="1">
      <alignment/>
    </xf>
    <xf numFmtId="167" fontId="7" fillId="5" borderId="11" xfId="0" applyNumberFormat="1" applyFont="1" applyFill="1" applyBorder="1" applyAlignment="1">
      <alignment/>
    </xf>
    <xf numFmtId="167" fontId="7" fillId="5" borderId="0" xfId="0" applyNumberFormat="1" applyFont="1" applyFill="1" applyBorder="1" applyAlignment="1">
      <alignment/>
    </xf>
    <xf numFmtId="167" fontId="6" fillId="5" borderId="0" xfId="0" applyNumberFormat="1" applyFont="1" applyFill="1" applyBorder="1" applyAlignment="1">
      <alignment/>
    </xf>
    <xf numFmtId="167" fontId="6" fillId="5" borderId="10" xfId="0" applyNumberFormat="1" applyFont="1" applyFill="1" applyBorder="1" applyAlignment="1">
      <alignment/>
    </xf>
    <xf numFmtId="167" fontId="6" fillId="5" borderId="11" xfId="0" applyNumberFormat="1" applyFont="1" applyFill="1" applyBorder="1" applyAlignment="1">
      <alignment/>
    </xf>
    <xf numFmtId="167" fontId="6" fillId="5" borderId="5" xfId="0" applyNumberFormat="1" applyFont="1" applyFill="1" applyBorder="1" applyAlignment="1">
      <alignment/>
    </xf>
    <xf numFmtId="167" fontId="6" fillId="5" borderId="8" xfId="0" applyNumberFormat="1" applyFont="1" applyFill="1" applyBorder="1" applyAlignment="1">
      <alignment/>
    </xf>
    <xf numFmtId="167" fontId="7" fillId="5" borderId="8" xfId="0" applyNumberFormat="1" applyFont="1" applyFill="1" applyBorder="1" applyAlignment="1">
      <alignment/>
    </xf>
    <xf numFmtId="167" fontId="6" fillId="5" borderId="4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12" xfId="0" applyFill="1" applyBorder="1" applyAlignment="1">
      <alignment/>
    </xf>
    <xf numFmtId="167" fontId="7" fillId="2" borderId="10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167" fontId="7" fillId="3" borderId="12" xfId="0" applyNumberFormat="1" applyFont="1" applyFill="1" applyBorder="1" applyAlignment="1">
      <alignment horizontal="center"/>
    </xf>
    <xf numFmtId="167" fontId="7" fillId="2" borderId="8" xfId="0" applyNumberFormat="1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7" fontId="7" fillId="2" borderId="13" xfId="0" applyNumberFormat="1" applyFont="1" applyFill="1" applyBorder="1" applyAlignment="1">
      <alignment horizontal="center"/>
    </xf>
    <xf numFmtId="167" fontId="7" fillId="3" borderId="13" xfId="0" applyNumberFormat="1" applyFont="1" applyFill="1" applyBorder="1" applyAlignment="1">
      <alignment horizontal="center"/>
    </xf>
    <xf numFmtId="167" fontId="7" fillId="2" borderId="11" xfId="0" applyNumberFormat="1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7" fontId="1" fillId="2" borderId="13" xfId="0" applyNumberFormat="1" applyFont="1" applyFill="1" applyBorder="1" applyAlignment="1">
      <alignment horizontal="center"/>
    </xf>
    <xf numFmtId="167" fontId="1" fillId="2" borderId="11" xfId="0" applyNumberFormat="1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167" fontId="21" fillId="3" borderId="13" xfId="0" applyNumberFormat="1" applyFont="1" applyFill="1" applyBorder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6" fillId="2" borderId="13" xfId="0" applyNumberFormat="1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7" fontId="7" fillId="2" borderId="14" xfId="0" applyNumberFormat="1" applyFont="1" applyFill="1" applyBorder="1" applyAlignment="1">
      <alignment horizontal="center"/>
    </xf>
    <xf numFmtId="167" fontId="7" fillId="3" borderId="14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  <xf numFmtId="167" fontId="0" fillId="2" borderId="14" xfId="0" applyNumberFormat="1" applyFill="1" applyBorder="1" applyAlignment="1">
      <alignment/>
    </xf>
    <xf numFmtId="164" fontId="0" fillId="2" borderId="7" xfId="0" applyFill="1" applyBorder="1" applyAlignment="1">
      <alignment horizontal="center"/>
    </xf>
    <xf numFmtId="167" fontId="23" fillId="2" borderId="7" xfId="0" applyNumberFormat="1" applyFont="1" applyFill="1" applyBorder="1" applyAlignment="1">
      <alignment horizontal="right"/>
    </xf>
    <xf numFmtId="167" fontId="23" fillId="3" borderId="7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Loop Performance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Calc1!$E$31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Calc1!$A$32:$A$61</c:f>
              <c:numCache/>
            </c:numRef>
          </c:cat>
          <c:val>
            <c:numRef>
              <c:f>Calc1!$E$32:$E$61</c:f>
              <c:numCache/>
            </c:numRef>
          </c:val>
          <c:smooth val="0"/>
        </c:ser>
        <c:marker val="1"/>
        <c:axId val="3063000"/>
        <c:axId val="27567001"/>
      </c:lineChart>
      <c:lineChart>
        <c:grouping val="standard"/>
        <c:varyColors val="0"/>
        <c:ser>
          <c:idx val="0"/>
          <c:order val="1"/>
          <c:tx>
            <c:strRef>
              <c:f>Calc1!$I$31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Calc1!$I$32:$I$61</c:f>
              <c:numCache/>
            </c:numRef>
          </c:val>
          <c:smooth val="1"/>
        </c:ser>
        <c:marker val="1"/>
        <c:axId val="46776418"/>
        <c:axId val="18334579"/>
      </c:lineChart>
      <c:cat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Frequency (1-30 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001"/>
        <c:crossesAt val="-40"/>
        <c:auto val="0"/>
        <c:lblOffset val="100"/>
        <c:noMultiLvlLbl val="0"/>
      </c:catAx>
      <c:valAx>
        <c:axId val="2756700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Efficiency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At val="1"/>
        <c:crossBetween val="midCat"/>
        <c:dispUnits/>
        <c:majorUnit val="1"/>
      </c:valAx>
      <c:catAx>
        <c:axId val="46776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579"/>
        <c:crossesAt val="0"/>
        <c:auto val="0"/>
        <c:lblOffset val="100"/>
        <c:noMultiLvlLbl val="0"/>
      </c:catAx>
      <c:valAx>
        <c:axId val="1833457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Bandwidth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6418"/>
        <c:crosses val="max"/>
        <c:crossBetween val="midCat"/>
        <c:dispUnits/>
        <c:majorUnit val="20"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152400</xdr:rowOff>
    </xdr:from>
    <xdr:to>
      <xdr:col>16</xdr:col>
      <xdr:colOff>581025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6096000" y="381000"/>
        <a:ext cx="54292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5tb@yahoo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workbookViewId="0" topLeftCell="A10">
      <selection activeCell="C12" sqref="C12"/>
    </sheetView>
  </sheetViews>
  <sheetFormatPr defaultColWidth="9.140625" defaultRowHeight="12.75"/>
  <cols>
    <col min="1" max="1" width="9.140625" style="1" customWidth="1"/>
    <col min="2" max="2" width="24.57421875" style="2" customWidth="1"/>
    <col min="3" max="3" width="12.140625" style="3" customWidth="1"/>
    <col min="4" max="4" width="13.8515625" style="1" customWidth="1"/>
    <col min="5" max="5" width="8.7109375" style="1" customWidth="1"/>
    <col min="6" max="6" width="4.28125" style="1" customWidth="1"/>
    <col min="7" max="14" width="9.140625" style="4" customWidth="1"/>
    <col min="15" max="16384" width="9.140625" style="1" customWidth="1"/>
  </cols>
  <sheetData>
    <row r="1" spans="1:6" ht="18">
      <c r="A1" s="4"/>
      <c r="B1" s="5"/>
      <c r="C1" s="6" t="s">
        <v>0</v>
      </c>
      <c r="D1" s="7"/>
      <c r="E1" s="4"/>
      <c r="F1" s="4"/>
    </row>
    <row r="2" spans="1:6" ht="12.75">
      <c r="A2" s="4"/>
      <c r="B2" s="8"/>
      <c r="C2" s="9" t="s">
        <v>1</v>
      </c>
      <c r="D2" s="4"/>
      <c r="E2" s="4"/>
      <c r="F2" s="4"/>
    </row>
    <row r="3" spans="1:6" ht="12.75">
      <c r="A3" s="4"/>
      <c r="B3" s="8"/>
      <c r="C3" s="9" t="s">
        <v>2</v>
      </c>
      <c r="D3" s="4"/>
      <c r="E3" s="4"/>
      <c r="F3" s="4"/>
    </row>
    <row r="4" spans="1:6" ht="12.75">
      <c r="A4" s="4"/>
      <c r="B4" s="8"/>
      <c r="C4" s="10" t="s">
        <v>3</v>
      </c>
      <c r="D4" s="4"/>
      <c r="E4" s="4"/>
      <c r="F4" s="4"/>
    </row>
    <row r="5" spans="1:6" ht="12.75">
      <c r="A5" s="4"/>
      <c r="B5" s="8"/>
      <c r="C5" s="11" t="s">
        <v>4</v>
      </c>
      <c r="D5" s="4"/>
      <c r="E5" s="4"/>
      <c r="F5" s="4"/>
    </row>
    <row r="6" spans="1:6" ht="12.75">
      <c r="A6" s="4"/>
      <c r="B6" s="8"/>
      <c r="C6" s="12"/>
      <c r="D6" s="4"/>
      <c r="E6" s="4"/>
      <c r="F6" s="4"/>
    </row>
    <row r="7" spans="1:6" ht="12.75">
      <c r="A7" s="4"/>
      <c r="B7" s="4" t="s">
        <v>5</v>
      </c>
      <c r="C7" s="13"/>
      <c r="D7" s="4"/>
      <c r="E7" s="4"/>
      <c r="F7" s="4"/>
    </row>
    <row r="8" spans="1:6" ht="13.5">
      <c r="A8" s="4"/>
      <c r="B8" s="4"/>
      <c r="C8" s="13"/>
      <c r="D8" s="14"/>
      <c r="E8" s="14"/>
      <c r="F8" s="14"/>
    </row>
    <row r="9" spans="1:6" ht="12.75">
      <c r="A9" s="4"/>
      <c r="B9" s="15" t="s">
        <v>6</v>
      </c>
      <c r="C9" s="16">
        <v>27.5</v>
      </c>
      <c r="D9" s="17" t="s">
        <v>7</v>
      </c>
      <c r="E9" s="17"/>
      <c r="F9" s="18"/>
    </row>
    <row r="10" spans="1:6" ht="12.75">
      <c r="A10" s="4"/>
      <c r="B10" s="15" t="s">
        <v>8</v>
      </c>
      <c r="C10" s="16">
        <v>4</v>
      </c>
      <c r="D10" s="17" t="s">
        <v>9</v>
      </c>
      <c r="E10" s="19">
        <f>0.3048*C10</f>
        <v>1.2192</v>
      </c>
      <c r="F10" s="20" t="s">
        <v>10</v>
      </c>
    </row>
    <row r="11" spans="1:6" ht="12.75">
      <c r="A11" s="4"/>
      <c r="B11" s="15" t="s">
        <v>11</v>
      </c>
      <c r="C11" s="16">
        <v>0.4</v>
      </c>
      <c r="D11" s="17" t="s">
        <v>12</v>
      </c>
      <c r="E11" s="19">
        <f>25.4*C11</f>
        <v>10.16</v>
      </c>
      <c r="F11" s="20" t="s">
        <v>13</v>
      </c>
    </row>
    <row r="12" spans="1:6" ht="12.75">
      <c r="A12" s="4"/>
      <c r="B12" s="21" t="s">
        <v>14</v>
      </c>
      <c r="C12" s="22">
        <v>0</v>
      </c>
      <c r="D12" s="23" t="s">
        <v>15</v>
      </c>
      <c r="E12" s="17"/>
      <c r="F12" s="18"/>
    </row>
    <row r="13" spans="1:6" ht="13.5">
      <c r="A13" s="4"/>
      <c r="B13" s="21" t="s">
        <v>16</v>
      </c>
      <c r="C13" s="22">
        <v>22</v>
      </c>
      <c r="D13" s="17" t="s">
        <v>17</v>
      </c>
      <c r="E13" s="17"/>
      <c r="F13" s="18"/>
    </row>
    <row r="14" spans="1:6" ht="12.75">
      <c r="A14" s="4"/>
      <c r="B14" s="8"/>
      <c r="C14" s="13"/>
      <c r="D14" s="4"/>
      <c r="E14" s="4"/>
      <c r="F14" s="4"/>
    </row>
    <row r="15" spans="1:6" ht="12.75">
      <c r="A15" s="4"/>
      <c r="B15" s="23" t="s">
        <v>18</v>
      </c>
      <c r="C15" s="13"/>
      <c r="D15" s="4"/>
      <c r="E15" s="4"/>
      <c r="F15" s="4"/>
    </row>
    <row r="16" spans="1:6" ht="13.5">
      <c r="A16" s="4"/>
      <c r="B16" s="8"/>
      <c r="C16" s="13"/>
      <c r="D16" s="4"/>
      <c r="E16" s="4"/>
      <c r="F16" s="4"/>
    </row>
    <row r="17" spans="1:6" ht="12.75">
      <c r="A17" s="4"/>
      <c r="B17" s="15" t="s">
        <v>19</v>
      </c>
      <c r="C17" s="24">
        <f>Calc1!D21</f>
        <v>275.9104691095982</v>
      </c>
      <c r="D17" s="25" t="s">
        <v>20</v>
      </c>
      <c r="E17" s="26"/>
      <c r="F17" s="27"/>
    </row>
    <row r="18" spans="1:6" ht="12.75">
      <c r="A18" s="4"/>
      <c r="B18" s="15" t="s">
        <v>21</v>
      </c>
      <c r="C18" s="24">
        <f>Calc1!D16</f>
        <v>94.89883651486313</v>
      </c>
      <c r="D18" s="25" t="s">
        <v>22</v>
      </c>
      <c r="E18" s="28">
        <f>Calc1!F16</f>
        <v>-0.2273911210666128</v>
      </c>
      <c r="F18" s="29" t="s">
        <v>23</v>
      </c>
    </row>
    <row r="19" spans="1:6" ht="12.75">
      <c r="A19" s="4"/>
      <c r="B19" s="15" t="s">
        <v>24</v>
      </c>
      <c r="C19" s="24">
        <f>Calc1!B12</f>
        <v>12.566370614359172</v>
      </c>
      <c r="D19" s="25" t="s">
        <v>25</v>
      </c>
      <c r="E19" s="28">
        <f>Calc1!D12</f>
        <v>1.1674540318406348</v>
      </c>
      <c r="F19" s="29" t="s">
        <v>26</v>
      </c>
    </row>
    <row r="20" spans="1:6" ht="12.75">
      <c r="A20" s="4"/>
      <c r="B20" s="15" t="s">
        <v>27</v>
      </c>
      <c r="C20" s="28">
        <f>Calc1!D13</f>
        <v>3052.581048517879</v>
      </c>
      <c r="D20" s="25" t="s">
        <v>28</v>
      </c>
      <c r="E20" s="30"/>
      <c r="F20" s="31"/>
    </row>
    <row r="21" spans="1:6" ht="12.75">
      <c r="A21" s="4"/>
      <c r="B21" s="15" t="s">
        <v>29</v>
      </c>
      <c r="C21" s="28">
        <f>Calc1!D15</f>
        <v>164.08752258707977</v>
      </c>
      <c r="D21" s="25" t="s">
        <v>28</v>
      </c>
      <c r="E21" s="25"/>
      <c r="F21" s="29"/>
    </row>
    <row r="22" spans="1:6" ht="12.75">
      <c r="A22" s="4"/>
      <c r="B22" s="15" t="s">
        <v>30</v>
      </c>
      <c r="C22" s="24">
        <f>Calc1!B11</f>
        <v>12.566370614359172</v>
      </c>
      <c r="D22" s="25" t="s">
        <v>31</v>
      </c>
      <c r="E22" s="32">
        <f>0.3048*C22</f>
        <v>3.8302297632566757</v>
      </c>
      <c r="F22" s="33" t="s">
        <v>10</v>
      </c>
    </row>
    <row r="23" spans="1:6" ht="12.75">
      <c r="A23" s="4"/>
      <c r="B23" s="15" t="s">
        <v>32</v>
      </c>
      <c r="C23" s="28">
        <f>Calc1!B26</f>
        <v>35.134682427394424</v>
      </c>
      <c r="D23" s="25" t="s">
        <v>33</v>
      </c>
      <c r="E23" s="28"/>
      <c r="F23" s="29"/>
    </row>
    <row r="24" spans="1:6" ht="12.75">
      <c r="A24" s="4"/>
      <c r="B24" s="15" t="s">
        <v>34</v>
      </c>
      <c r="C24" s="24">
        <f>Calc1!D17</f>
        <v>3.7109770066487746</v>
      </c>
      <c r="D24" s="34" t="s">
        <v>35</v>
      </c>
      <c r="E24" s="35"/>
      <c r="F24" s="29"/>
    </row>
    <row r="25" spans="1:6" ht="12.75">
      <c r="A25" s="4"/>
      <c r="B25" s="15" t="s">
        <v>36</v>
      </c>
      <c r="C25" s="24">
        <f>Calc1!B22</f>
        <v>10.30442390377452</v>
      </c>
      <c r="D25" s="25" t="s">
        <v>37</v>
      </c>
      <c r="E25" s="28"/>
      <c r="F25" s="29"/>
    </row>
    <row r="26" spans="1:6" ht="12.75">
      <c r="A26" s="4"/>
      <c r="B26" s="15" t="s">
        <v>38</v>
      </c>
      <c r="C26" s="24">
        <f>Calc1!B20</f>
        <v>99.6700128441895</v>
      </c>
      <c r="D26" s="25"/>
      <c r="E26" s="26"/>
      <c r="F26" s="29"/>
    </row>
    <row r="27" spans="1:6" ht="12.75">
      <c r="A27" s="4"/>
      <c r="B27" s="15" t="s">
        <v>39</v>
      </c>
      <c r="C27" s="24">
        <f>Calc1!D19</f>
        <v>9.025818834971396</v>
      </c>
      <c r="D27" s="25" t="s">
        <v>37</v>
      </c>
      <c r="E27" s="26"/>
      <c r="F27" s="29"/>
    </row>
    <row r="28" spans="1:6" ht="12.75">
      <c r="A28" s="4"/>
      <c r="B28" s="15" t="s">
        <v>40</v>
      </c>
      <c r="C28" s="24">
        <f>Calc1!B23</f>
        <v>1185.7523945248627</v>
      </c>
      <c r="D28" s="25" t="s">
        <v>41</v>
      </c>
      <c r="E28" s="26"/>
      <c r="F28" s="29"/>
    </row>
    <row r="29" spans="1:6" ht="13.5">
      <c r="A29" s="36"/>
      <c r="B29" s="21" t="s">
        <v>42</v>
      </c>
      <c r="C29" s="37">
        <f>Calc1!D24</f>
        <v>15.810031926998168</v>
      </c>
      <c r="D29" s="38" t="s">
        <v>43</v>
      </c>
      <c r="E29" s="35">
        <f>Calc1!F24</f>
        <v>0.4015748109457534</v>
      </c>
      <c r="F29" s="39" t="s">
        <v>13</v>
      </c>
    </row>
    <row r="30" spans="1:6" ht="12.75">
      <c r="A30" s="4"/>
      <c r="B30" s="8"/>
      <c r="C30" s="13"/>
      <c r="D30" s="4"/>
      <c r="E30" s="4"/>
      <c r="F30" s="4"/>
    </row>
    <row r="31" spans="1:6" ht="12.75">
      <c r="A31" s="4" t="s">
        <v>44</v>
      </c>
      <c r="B31" s="40"/>
      <c r="C31" s="13"/>
      <c r="D31" s="4"/>
      <c r="E31" s="4"/>
      <c r="F31" s="4"/>
    </row>
    <row r="32" spans="1:6" ht="12.75">
      <c r="A32" s="4"/>
      <c r="B32" s="23" t="s">
        <v>45</v>
      </c>
      <c r="C32" s="41"/>
      <c r="D32" s="23"/>
      <c r="E32" s="23"/>
      <c r="F32" s="4"/>
    </row>
    <row r="33" spans="1:6" ht="12.75">
      <c r="A33" s="4"/>
      <c r="B33" s="23" t="s">
        <v>46</v>
      </c>
      <c r="C33" s="41"/>
      <c r="D33" s="23"/>
      <c r="E33" s="23"/>
      <c r="F33" s="4"/>
    </row>
    <row r="34" spans="1:6" ht="12.75">
      <c r="A34" s="4"/>
      <c r="B34" s="23" t="s">
        <v>47</v>
      </c>
      <c r="C34" s="41"/>
      <c r="D34" s="23"/>
      <c r="E34" s="23"/>
      <c r="F34" s="4"/>
    </row>
    <row r="35" spans="1:6" ht="12.75">
      <c r="A35" s="4"/>
      <c r="B35" s="42" t="s">
        <v>48</v>
      </c>
      <c r="C35" s="41"/>
      <c r="D35" s="23"/>
      <c r="E35" s="23"/>
      <c r="F35" s="4"/>
    </row>
    <row r="36" spans="1:6" ht="12.75">
      <c r="A36" s="4"/>
      <c r="B36" s="40" t="s">
        <v>49</v>
      </c>
      <c r="C36" s="13"/>
      <c r="D36" s="4"/>
      <c r="E36" s="4"/>
      <c r="F36" s="4"/>
    </row>
    <row r="37" spans="1:6" ht="12.75">
      <c r="A37" s="36"/>
      <c r="B37" s="43" t="s">
        <v>50</v>
      </c>
      <c r="C37" s="44"/>
      <c r="D37" s="36"/>
      <c r="E37" s="36"/>
      <c r="F37" s="36"/>
    </row>
    <row r="38" spans="1:6" ht="12.75">
      <c r="A38" s="36"/>
      <c r="B38" s="45" t="s">
        <v>51</v>
      </c>
      <c r="C38" s="44"/>
      <c r="D38" s="36"/>
      <c r="E38" s="36"/>
      <c r="F38" s="36"/>
    </row>
    <row r="39" ht="12.75">
      <c r="B39" s="2" t="s">
        <v>52</v>
      </c>
    </row>
  </sheetData>
  <sheetProtection password="C5A0" sheet="1" selectLockedCells="1"/>
  <hyperlinks>
    <hyperlink ref="C4" r:id="rId1" display="aa5tb@yahoo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rmulas"/>
  <dimension ref="A1:C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59.140625" style="1" customWidth="1"/>
    <col min="4" max="16384" width="9.140625" style="1" customWidth="1"/>
  </cols>
  <sheetData>
    <row r="1" ht="15.75">
      <c r="C1" s="46" t="s">
        <v>53</v>
      </c>
    </row>
    <row r="2" ht="15">
      <c r="C2" s="47" t="s">
        <v>54</v>
      </c>
    </row>
    <row r="4" ht="15">
      <c r="C4" s="48" t="s">
        <v>55</v>
      </c>
    </row>
    <row r="5" ht="15">
      <c r="C5" s="48" t="s">
        <v>56</v>
      </c>
    </row>
    <row r="6" ht="15">
      <c r="C6" s="48" t="s">
        <v>57</v>
      </c>
    </row>
    <row r="7" ht="15">
      <c r="C7" s="48" t="s">
        <v>58</v>
      </c>
    </row>
    <row r="8" ht="15">
      <c r="C8" s="48" t="s">
        <v>59</v>
      </c>
    </row>
    <row r="9" ht="15">
      <c r="C9" s="48" t="s">
        <v>60</v>
      </c>
    </row>
    <row r="10" ht="15">
      <c r="C10" s="48" t="s">
        <v>61</v>
      </c>
    </row>
    <row r="11" ht="15">
      <c r="C11" s="48" t="s">
        <v>62</v>
      </c>
    </row>
    <row r="12" ht="15">
      <c r="C12" s="48" t="s">
        <v>63</v>
      </c>
    </row>
    <row r="13" ht="15">
      <c r="C13" s="48" t="s">
        <v>64</v>
      </c>
    </row>
    <row r="14" ht="15">
      <c r="C14" s="48" t="s">
        <v>65</v>
      </c>
    </row>
    <row r="16" ht="15">
      <c r="B16" s="49" t="s">
        <v>66</v>
      </c>
    </row>
    <row r="17" ht="15">
      <c r="C17" s="48" t="s">
        <v>67</v>
      </c>
    </row>
    <row r="18" ht="15">
      <c r="C18" s="48" t="s">
        <v>68</v>
      </c>
    </row>
    <row r="19" ht="15">
      <c r="C19" s="48" t="s">
        <v>69</v>
      </c>
    </row>
    <row r="20" ht="15">
      <c r="C20" s="48" t="s">
        <v>70</v>
      </c>
    </row>
    <row r="21" ht="15">
      <c r="C21" s="48" t="s">
        <v>71</v>
      </c>
    </row>
    <row r="22" ht="15">
      <c r="C22" s="48" t="s">
        <v>72</v>
      </c>
    </row>
    <row r="24" spans="1:2" ht="15">
      <c r="A24" s="50" t="s">
        <v>73</v>
      </c>
      <c r="B24" s="51" t="s">
        <v>74</v>
      </c>
    </row>
    <row r="25" ht="15">
      <c r="B25" s="51" t="s">
        <v>75</v>
      </c>
    </row>
    <row r="26" ht="15">
      <c r="B26" s="51" t="s">
        <v>76</v>
      </c>
    </row>
  </sheetData>
  <sheetProtection password="C5A0" sheet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workbookViewId="0" topLeftCell="A3">
      <selection activeCell="A3" sqref="A3"/>
    </sheetView>
  </sheetViews>
  <sheetFormatPr defaultColWidth="9.140625" defaultRowHeight="12.75"/>
  <cols>
    <col min="1" max="1" width="25.140625" style="1" customWidth="1"/>
    <col min="2" max="13" width="13.7109375" style="52" customWidth="1"/>
    <col min="14" max="14" width="10.57421875" style="1" customWidth="1"/>
    <col min="15" max="15" width="12.8515625" style="1" customWidth="1"/>
    <col min="16" max="16384" width="9.140625" style="1" customWidth="1"/>
  </cols>
  <sheetData>
    <row r="1" ht="12.75">
      <c r="A1" s="53"/>
    </row>
    <row r="2" ht="12.75">
      <c r="A2" s="2" t="s">
        <v>77</v>
      </c>
    </row>
    <row r="3" spans="1:5" ht="12.75">
      <c r="A3" s="54" t="s">
        <v>78</v>
      </c>
      <c r="B3" s="55">
        <f>PI()</f>
        <v>3.141592653589793</v>
      </c>
      <c r="C3" s="56"/>
      <c r="D3" s="57"/>
      <c r="E3" s="58"/>
    </row>
    <row r="4" spans="1:5" ht="12.75">
      <c r="A4" s="59" t="s">
        <v>79</v>
      </c>
      <c r="B4" s="60">
        <f>(Main!C10)*12</f>
        <v>48</v>
      </c>
      <c r="C4" s="57" t="s">
        <v>12</v>
      </c>
      <c r="D4" s="61">
        <f>B4*0.0254</f>
        <v>1.2191999999999998</v>
      </c>
      <c r="E4" s="62" t="s">
        <v>10</v>
      </c>
    </row>
    <row r="5" spans="1:5" ht="12.75">
      <c r="A5" s="59" t="s">
        <v>80</v>
      </c>
      <c r="B5" s="60">
        <f>Main!C11</f>
        <v>0.4</v>
      </c>
      <c r="C5" s="57" t="s">
        <v>12</v>
      </c>
      <c r="D5" s="57">
        <f>B5*0.0254</f>
        <v>0.01016</v>
      </c>
      <c r="E5" s="58" t="s">
        <v>10</v>
      </c>
    </row>
    <row r="6" spans="1:5" ht="12.75">
      <c r="A6" s="59" t="s">
        <v>81</v>
      </c>
      <c r="B6" s="60">
        <f>Main!C12</f>
        <v>0</v>
      </c>
      <c r="C6" s="57" t="s">
        <v>28</v>
      </c>
      <c r="D6" s="57">
        <f>B6/1000</f>
        <v>0</v>
      </c>
      <c r="E6" s="58" t="s">
        <v>82</v>
      </c>
    </row>
    <row r="7" spans="1:5" ht="12.75">
      <c r="A7" s="59" t="s">
        <v>83</v>
      </c>
      <c r="B7" s="63">
        <f>Main!C13</f>
        <v>22</v>
      </c>
      <c r="C7" s="56" t="s">
        <v>17</v>
      </c>
      <c r="D7" s="57"/>
      <c r="E7" s="58"/>
    </row>
    <row r="8" spans="1:5" ht="12.75">
      <c r="A8" s="59" t="s">
        <v>84</v>
      </c>
      <c r="B8" s="60">
        <f>Main!C9</f>
        <v>27.5</v>
      </c>
      <c r="C8" s="57" t="s">
        <v>7</v>
      </c>
      <c r="D8" s="64">
        <f>B8*1000000</f>
        <v>27500000</v>
      </c>
      <c r="E8" s="58" t="s">
        <v>85</v>
      </c>
    </row>
    <row r="9" spans="1:2" ht="12.75">
      <c r="A9" s="53"/>
      <c r="B9" s="65">
        <f>(96*B11)/(B3*B5)</f>
        <v>960</v>
      </c>
    </row>
    <row r="10" ht="12.75">
      <c r="A10" s="2" t="s">
        <v>86</v>
      </c>
    </row>
    <row r="11" spans="1:7" ht="12.75">
      <c r="A11" s="59" t="s">
        <v>87</v>
      </c>
      <c r="B11" s="66">
        <f>(Main!C10*B3)</f>
        <v>12.566370614359172</v>
      </c>
      <c r="C11" s="67" t="s">
        <v>88</v>
      </c>
      <c r="D11" s="68">
        <f>B11*0.3048</f>
        <v>3.8302297632566757</v>
      </c>
      <c r="E11" s="68" t="s">
        <v>10</v>
      </c>
      <c r="F11" s="69"/>
      <c r="G11" s="70"/>
    </row>
    <row r="12" spans="1:7" ht="12.75">
      <c r="A12" s="59" t="s">
        <v>89</v>
      </c>
      <c r="B12" s="66">
        <f>B3*((B4/24)*(B4/24))</f>
        <v>12.566370614359172</v>
      </c>
      <c r="C12" s="67" t="s">
        <v>25</v>
      </c>
      <c r="D12" s="68">
        <f>B12*0.09290304</f>
        <v>1.1674540318406348</v>
      </c>
      <c r="E12" s="68" t="s">
        <v>26</v>
      </c>
      <c r="F12" s="68"/>
      <c r="G12" s="71"/>
    </row>
    <row r="13" spans="1:7" ht="12.75">
      <c r="A13" s="59" t="s">
        <v>90</v>
      </c>
      <c r="B13" s="72">
        <f>(0.0000000338)*(((B8*B8)*B12)*((B8*B8)*B12))</f>
        <v>3.052581048517879</v>
      </c>
      <c r="C13" s="68" t="s">
        <v>82</v>
      </c>
      <c r="D13" s="67">
        <f>B13*1000</f>
        <v>3052.581048517879</v>
      </c>
      <c r="E13" s="67" t="s">
        <v>28</v>
      </c>
      <c r="F13" s="68"/>
      <c r="G13" s="71"/>
    </row>
    <row r="14" spans="1:7" ht="12.75">
      <c r="A14" s="59" t="s">
        <v>91</v>
      </c>
      <c r="B14" s="72">
        <f>(0.000996)*SQRT(B8)*(B11/B5)</f>
        <v>0.1640875225870798</v>
      </c>
      <c r="C14" s="68" t="s">
        <v>82</v>
      </c>
      <c r="D14" s="67">
        <f>B14*1000</f>
        <v>164.08752258707977</v>
      </c>
      <c r="E14" s="73" t="s">
        <v>28</v>
      </c>
      <c r="F14" s="68"/>
      <c r="G14" s="71"/>
    </row>
    <row r="15" spans="1:7" ht="12.75">
      <c r="A15" s="59" t="s">
        <v>92</v>
      </c>
      <c r="B15" s="74">
        <f>D6+B14</f>
        <v>0.1640875225870798</v>
      </c>
      <c r="C15" s="75" t="s">
        <v>82</v>
      </c>
      <c r="D15" s="76">
        <f>B15*1000</f>
        <v>164.08752258707977</v>
      </c>
      <c r="E15" s="67" t="s">
        <v>28</v>
      </c>
      <c r="F15" s="68"/>
      <c r="G15" s="71"/>
    </row>
    <row r="16" spans="1:7" ht="12.75">
      <c r="A16" s="59" t="s">
        <v>93</v>
      </c>
      <c r="B16" s="77">
        <f>B13/(B13+B15)</f>
        <v>0.9489883651486314</v>
      </c>
      <c r="C16" s="78"/>
      <c r="D16" s="79">
        <f>B16*100</f>
        <v>94.89883651486313</v>
      </c>
      <c r="E16" s="79" t="s">
        <v>22</v>
      </c>
      <c r="F16" s="73">
        <f>(LOG10(B16))*10</f>
        <v>-0.2273911210666128</v>
      </c>
      <c r="G16" s="80" t="s">
        <v>23</v>
      </c>
    </row>
    <row r="17" spans="1:7" ht="12.75">
      <c r="A17" s="59" t="s">
        <v>94</v>
      </c>
      <c r="B17" s="72">
        <f>(0.000000019)*B11*((7.353*(LOG(B9,10))-6.386))</f>
        <v>3.7109770066487747E-06</v>
      </c>
      <c r="C17" s="68" t="s">
        <v>95</v>
      </c>
      <c r="D17" s="67">
        <f>B17*1000000</f>
        <v>3.7109770066487746</v>
      </c>
      <c r="E17" s="67" t="s">
        <v>35</v>
      </c>
      <c r="F17" s="68"/>
      <c r="G17" s="71"/>
    </row>
    <row r="18" spans="1:7" ht="12.75">
      <c r="A18" s="59" t="s">
        <v>96</v>
      </c>
      <c r="B18" s="81">
        <f>2*B3*B8*B17*1000000</f>
        <v>641.2107955950638</v>
      </c>
      <c r="C18" s="67" t="s">
        <v>82</v>
      </c>
      <c r="D18" s="68"/>
      <c r="E18" s="68"/>
      <c r="F18" s="68"/>
      <c r="G18" s="71"/>
    </row>
    <row r="19" spans="1:7" ht="12.75">
      <c r="A19" s="59" t="s">
        <v>97</v>
      </c>
      <c r="B19" s="72">
        <f>1/(2*B3*B8*B18*1000000)</f>
        <v>9.025818834971397E-12</v>
      </c>
      <c r="C19" s="68" t="s">
        <v>98</v>
      </c>
      <c r="D19" s="67">
        <f>B19*1000000000000</f>
        <v>9.025818834971396</v>
      </c>
      <c r="E19" s="67" t="s">
        <v>99</v>
      </c>
      <c r="F19" s="68"/>
      <c r="G19" s="71"/>
    </row>
    <row r="20" spans="1:7" ht="12.75">
      <c r="A20" s="59" t="s">
        <v>100</v>
      </c>
      <c r="B20" s="77">
        <f>B18/(2*(B13+B15))</f>
        <v>99.6700128441895</v>
      </c>
      <c r="C20" s="68"/>
      <c r="D20" s="68"/>
      <c r="E20" s="68"/>
      <c r="F20" s="68"/>
      <c r="G20" s="71"/>
    </row>
    <row r="21" spans="1:7" ht="12.75">
      <c r="A21" s="59" t="s">
        <v>101</v>
      </c>
      <c r="B21" s="72">
        <f>D8/B20</f>
        <v>275910.4691095982</v>
      </c>
      <c r="C21" s="68" t="s">
        <v>85</v>
      </c>
      <c r="D21" s="67">
        <f>B21/1000</f>
        <v>275.9104691095982</v>
      </c>
      <c r="E21" s="67" t="s">
        <v>102</v>
      </c>
      <c r="F21" s="68"/>
      <c r="G21" s="71"/>
    </row>
    <row r="22" spans="1:7" ht="12.75">
      <c r="A22" s="59" t="s">
        <v>103</v>
      </c>
      <c r="B22" s="82">
        <f>0.82*B11</f>
        <v>10.30442390377452</v>
      </c>
      <c r="C22" s="79" t="s">
        <v>99</v>
      </c>
      <c r="D22" s="68"/>
      <c r="E22" s="68"/>
      <c r="F22" s="68"/>
      <c r="G22" s="71"/>
    </row>
    <row r="23" spans="1:7" ht="12.75">
      <c r="A23" s="59" t="s">
        <v>104</v>
      </c>
      <c r="B23" s="83">
        <f>SQRT(B7*B18*B20)</f>
        <v>1185.7523945248627</v>
      </c>
      <c r="C23" s="67" t="s">
        <v>41</v>
      </c>
      <c r="D23" s="68"/>
      <c r="E23" s="68"/>
      <c r="F23" s="68"/>
      <c r="G23" s="71"/>
    </row>
    <row r="24" spans="1:7" ht="12.75">
      <c r="A24" s="59" t="s">
        <v>105</v>
      </c>
      <c r="B24" s="84">
        <f>B23/75000</f>
        <v>0.015810031926998168</v>
      </c>
      <c r="C24" s="69" t="s">
        <v>106</v>
      </c>
      <c r="D24" s="67">
        <f>B24*1000</f>
        <v>15.810031926998168</v>
      </c>
      <c r="E24" s="67" t="s">
        <v>107</v>
      </c>
      <c r="F24" s="67">
        <f>25.4*B24</f>
        <v>0.4015748109457534</v>
      </c>
      <c r="G24" s="85" t="s">
        <v>13</v>
      </c>
    </row>
    <row r="25" spans="1:7" ht="12.75">
      <c r="A25" s="59" t="s">
        <v>108</v>
      </c>
      <c r="B25" s="72">
        <f>D25*3.28083</f>
        <v>35.76617702509091</v>
      </c>
      <c r="C25" s="68" t="s">
        <v>88</v>
      </c>
      <c r="D25" s="67">
        <f>299793000/D8</f>
        <v>10.901563636363637</v>
      </c>
      <c r="E25" s="67" t="s">
        <v>10</v>
      </c>
      <c r="F25" s="68"/>
      <c r="G25" s="71"/>
    </row>
    <row r="26" spans="1:7" ht="12.75">
      <c r="A26" s="59" t="s">
        <v>109</v>
      </c>
      <c r="B26" s="82">
        <f>(D11/D25)*100</f>
        <v>35.134682427394424</v>
      </c>
      <c r="C26" s="76" t="s">
        <v>22</v>
      </c>
      <c r="D26" s="68"/>
      <c r="E26" s="68"/>
      <c r="F26" s="68"/>
      <c r="G26" s="71"/>
    </row>
    <row r="27" ht="12.75">
      <c r="A27" s="86"/>
    </row>
    <row r="28" spans="1:13" ht="12.75">
      <c r="A28" s="87"/>
      <c r="B28" s="88" t="s">
        <v>110</v>
      </c>
      <c r="C28" s="89" t="s">
        <v>111</v>
      </c>
      <c r="D28" s="89" t="s">
        <v>112</v>
      </c>
      <c r="E28" s="90"/>
      <c r="F28" s="89" t="s">
        <v>113</v>
      </c>
      <c r="G28" s="90" t="s">
        <v>114</v>
      </c>
      <c r="H28" s="89" t="s">
        <v>115</v>
      </c>
      <c r="I28" s="90"/>
      <c r="J28" s="91" t="s">
        <v>116</v>
      </c>
      <c r="K28" s="89" t="s">
        <v>117</v>
      </c>
      <c r="L28" s="89"/>
      <c r="M28" s="89"/>
    </row>
    <row r="29" spans="1:13" ht="12.75">
      <c r="A29" s="92" t="s">
        <v>118</v>
      </c>
      <c r="B29" s="93" t="s">
        <v>119</v>
      </c>
      <c r="C29" s="93" t="s">
        <v>119</v>
      </c>
      <c r="D29" s="93" t="s">
        <v>119</v>
      </c>
      <c r="E29" s="94" t="s">
        <v>120</v>
      </c>
      <c r="F29" s="93" t="s">
        <v>121</v>
      </c>
      <c r="G29" s="94" t="s">
        <v>116</v>
      </c>
      <c r="H29" s="93" t="s">
        <v>122</v>
      </c>
      <c r="I29" s="94" t="s">
        <v>123</v>
      </c>
      <c r="J29" s="95" t="s">
        <v>124</v>
      </c>
      <c r="K29" s="93" t="s">
        <v>125</v>
      </c>
      <c r="L29" s="93" t="s">
        <v>126</v>
      </c>
      <c r="M29" s="93" t="s">
        <v>127</v>
      </c>
    </row>
    <row r="30" spans="1:13" ht="12.75">
      <c r="A30" s="96" t="s">
        <v>98</v>
      </c>
      <c r="B30" s="97" t="s">
        <v>128</v>
      </c>
      <c r="C30" s="97" t="s">
        <v>129</v>
      </c>
      <c r="D30" s="98" t="s">
        <v>130</v>
      </c>
      <c r="E30" s="99" t="s">
        <v>131</v>
      </c>
      <c r="F30" s="97" t="s">
        <v>132</v>
      </c>
      <c r="G30" s="99" t="s">
        <v>133</v>
      </c>
      <c r="H30" s="97" t="s">
        <v>134</v>
      </c>
      <c r="I30" s="100" t="s">
        <v>135</v>
      </c>
      <c r="J30" s="101" t="s">
        <v>136</v>
      </c>
      <c r="K30" s="97" t="s">
        <v>137</v>
      </c>
      <c r="L30" s="97" t="s">
        <v>138</v>
      </c>
      <c r="M30" s="102" t="s">
        <v>33</v>
      </c>
    </row>
    <row r="31" spans="1:13" ht="12.75">
      <c r="A31" s="103" t="s">
        <v>7</v>
      </c>
      <c r="B31" s="104" t="s">
        <v>28</v>
      </c>
      <c r="C31" s="104" t="s">
        <v>28</v>
      </c>
      <c r="D31" s="104" t="s">
        <v>28</v>
      </c>
      <c r="E31" s="105" t="s">
        <v>23</v>
      </c>
      <c r="F31" s="104" t="s">
        <v>82</v>
      </c>
      <c r="G31" s="105" t="s">
        <v>99</v>
      </c>
      <c r="H31" s="104"/>
      <c r="I31" s="105" t="s">
        <v>102</v>
      </c>
      <c r="J31" s="106" t="s">
        <v>41</v>
      </c>
      <c r="K31" s="104" t="s">
        <v>107</v>
      </c>
      <c r="L31" s="104" t="s">
        <v>10</v>
      </c>
      <c r="M31" s="107"/>
    </row>
    <row r="32" spans="1:13" ht="12.75">
      <c r="A32" s="108">
        <v>1</v>
      </c>
      <c r="B32" s="109">
        <f>((0.0000000338)*(((A32*A32)*B12)*((A32*A32)*B12)))*1000</f>
        <v>0.0053374820601091244</v>
      </c>
      <c r="C32" s="109">
        <f>((0.000996)*SQRT(A32)*(B11/B5))*1000</f>
        <v>31.290262829754333</v>
      </c>
      <c r="D32" s="109">
        <f>C32+B6</f>
        <v>31.290262829754333</v>
      </c>
      <c r="E32" s="110">
        <f aca="true" t="shared" si="0" ref="E32:E61">10*LOG(B32/(B32+D32))</f>
        <v>-37.68146858278698</v>
      </c>
      <c r="F32" s="109">
        <f>2*B3*A32*B17*1000000</f>
        <v>23.316756203456862</v>
      </c>
      <c r="G32" s="110">
        <f>(1/(2*B3*A32*F32*1000000))*1000000000000</f>
        <v>6825.775493947121</v>
      </c>
      <c r="H32" s="109">
        <f aca="true" t="shared" si="1" ref="H32:H61">F32/((2*(B32+D32))/1000)</f>
        <v>372.52450777648966</v>
      </c>
      <c r="I32" s="110">
        <f>(A32/H32)*1000</f>
        <v>2.684387145341826</v>
      </c>
      <c r="J32" s="109">
        <f>SQRT(B7*F32*H32)</f>
        <v>437.14229812272566</v>
      </c>
      <c r="K32" s="109">
        <f>1000*(J32/75000)</f>
        <v>5.828563974969676</v>
      </c>
      <c r="L32" s="109">
        <f>299.793/A32</f>
        <v>299.793</v>
      </c>
      <c r="M32" s="109">
        <f>(D11/L32*100)</f>
        <v>1.2776248155416157</v>
      </c>
    </row>
    <row r="33" spans="1:13" ht="12.75">
      <c r="A33" s="108">
        <v>2</v>
      </c>
      <c r="B33" s="109">
        <f>((0.0000000338)*(((A33*A33)*B12)*((A33*A33)*B12)))*1000</f>
        <v>0.08539971296174599</v>
      </c>
      <c r="C33" s="109">
        <f>((0.000996)*SQRT(A33)*(B11/B5))*1000</f>
        <v>44.251114064057326</v>
      </c>
      <c r="D33" s="109">
        <f>C33+B6</f>
        <v>44.251114064057326</v>
      </c>
      <c r="E33" s="110">
        <f t="shared" si="0"/>
        <v>-27.153051301478502</v>
      </c>
      <c r="F33" s="109">
        <f>2*B3*A33*B17*1000000</f>
        <v>46.633512406913724</v>
      </c>
      <c r="G33" s="110">
        <f>(1/(2*B3*A33*F33*1000000))*1000000000000</f>
        <v>1706.4438734867801</v>
      </c>
      <c r="H33" s="109">
        <f t="shared" si="1"/>
        <v>525.9041412395087</v>
      </c>
      <c r="I33" s="110">
        <f aca="true" t="shared" si="2" ref="I33:I61">(A33/H33)*1000</f>
        <v>3.8029744266439507</v>
      </c>
      <c r="J33" s="109">
        <f>SQRT(B7*F33*H33)</f>
        <v>734.5370382067051</v>
      </c>
      <c r="K33" s="109">
        <f aca="true" t="shared" si="3" ref="K33:K61">1000*(J33/75000)</f>
        <v>9.793827176089401</v>
      </c>
      <c r="L33" s="109">
        <f aca="true" t="shared" si="4" ref="L33:L61">299.793/A33</f>
        <v>149.8965</v>
      </c>
      <c r="M33" s="109">
        <f>(D11/L33)*100</f>
        <v>2.5552496310832313</v>
      </c>
    </row>
    <row r="34" spans="1:13" ht="12.75">
      <c r="A34" s="108">
        <v>3</v>
      </c>
      <c r="B34" s="109">
        <f>((0.0000000338)*(((A34*A34)*B12)*((A34*A34)*B12)))*1000</f>
        <v>0.4323360468688391</v>
      </c>
      <c r="C34" s="109">
        <f>((0.000996)*SQRT(A34)*(B11/B5))*1000</f>
        <v>54.19632500331842</v>
      </c>
      <c r="D34" s="109">
        <f>C34+B6</f>
        <v>54.19632500331842</v>
      </c>
      <c r="E34" s="110">
        <f t="shared" si="0"/>
        <v>-21.015991088762046</v>
      </c>
      <c r="F34" s="109">
        <f>2*B3*A34*B17*1000000</f>
        <v>69.95026861037059</v>
      </c>
      <c r="G34" s="110">
        <f>(1/(2*B3*A34*F34*1000000))*1000000000000</f>
        <v>758.4194993274579</v>
      </c>
      <c r="H34" s="109">
        <f t="shared" si="1"/>
        <v>640.2341487567065</v>
      </c>
      <c r="I34" s="110">
        <f t="shared" si="2"/>
        <v>4.685785670486035</v>
      </c>
      <c r="J34" s="109">
        <f>SQRT(B7*F34*H34)</f>
        <v>992.6026974270213</v>
      </c>
      <c r="K34" s="109">
        <f t="shared" si="3"/>
        <v>13.234702632360285</v>
      </c>
      <c r="L34" s="109">
        <f t="shared" si="4"/>
        <v>99.931</v>
      </c>
      <c r="M34" s="109">
        <f>(D11/L34)*100</f>
        <v>3.8328744466248468</v>
      </c>
    </row>
    <row r="35" spans="1:13" ht="12.75">
      <c r="A35" s="108">
        <v>4</v>
      </c>
      <c r="B35" s="109">
        <f>((0.0000000338)*(((A35*A35)*B12)*((A35*A35)*B12)))*1000</f>
        <v>1.3663954073879359</v>
      </c>
      <c r="C35" s="109">
        <f>((0.000996)*SQRT(A35)*(B11/B5))*1000</f>
        <v>62.580525659508666</v>
      </c>
      <c r="D35" s="109">
        <f>C35+B6</f>
        <v>62.580525659508666</v>
      </c>
      <c r="E35" s="110">
        <f t="shared" si="0"/>
        <v>-16.702432451599048</v>
      </c>
      <c r="F35" s="109">
        <f>2*B3*A35*B17*1000000</f>
        <v>93.26702481382745</v>
      </c>
      <c r="G35" s="110">
        <f>(1/(2*B3*A35*F35*1000000))*1000000000000</f>
        <v>426.61096837169504</v>
      </c>
      <c r="H35" s="109">
        <f t="shared" si="1"/>
        <v>729.2534437761146</v>
      </c>
      <c r="I35" s="110">
        <f t="shared" si="2"/>
        <v>5.485061516182603</v>
      </c>
      <c r="J35" s="109">
        <f>SQRT(B7*F35*H35)</f>
        <v>1223.2483716715883</v>
      </c>
      <c r="K35" s="109">
        <f t="shared" si="3"/>
        <v>16.30997828895451</v>
      </c>
      <c r="L35" s="109">
        <f t="shared" si="4"/>
        <v>74.94825</v>
      </c>
      <c r="M35" s="109">
        <f>(D11/L35)*100</f>
        <v>5.110499262166463</v>
      </c>
    </row>
    <row r="36" spans="1:13" ht="12.75">
      <c r="A36" s="108">
        <v>5</v>
      </c>
      <c r="B36" s="109">
        <f>((0.0000000338)*(((A36*A36)*B12)*((A36*A36)*B12)))*1000</f>
        <v>3.335926287568203</v>
      </c>
      <c r="C36" s="109">
        <f>((0.000996)*SQRT(A36)*(B11/B5))*1000</f>
        <v>69.96715472116563</v>
      </c>
      <c r="D36" s="109">
        <f>C36+B6</f>
        <v>69.96715472116563</v>
      </c>
      <c r="E36" s="110">
        <f t="shared" si="0"/>
        <v>-13.41905783231293</v>
      </c>
      <c r="F36" s="109">
        <f>2*B3*A36*B17*1000000</f>
        <v>116.58378101728431</v>
      </c>
      <c r="G36" s="110">
        <f>(1/(2*B3*A36*F36*1000000))*1000000000000</f>
        <v>273.03101975788485</v>
      </c>
      <c r="H36" s="109">
        <f t="shared" si="1"/>
        <v>795.2174684403356</v>
      </c>
      <c r="I36" s="110">
        <f t="shared" si="2"/>
        <v>6.287588236468859</v>
      </c>
      <c r="J36" s="109">
        <f>SQRT(B7*F36*H36)</f>
        <v>1428.1484875316291</v>
      </c>
      <c r="K36" s="109">
        <f t="shared" si="3"/>
        <v>19.041979833755054</v>
      </c>
      <c r="L36" s="109">
        <f t="shared" si="4"/>
        <v>59.958600000000004</v>
      </c>
      <c r="M36" s="109">
        <f>(D11/L36)*100</f>
        <v>6.388124077708078</v>
      </c>
    </row>
    <row r="37" spans="1:13" ht="12.75">
      <c r="A37" s="108">
        <v>6</v>
      </c>
      <c r="B37" s="109">
        <f>((0.0000000338)*(((A37*A37)*B12)*((A37*A37)*B12)))*1000</f>
        <v>6.917376749901425</v>
      </c>
      <c r="C37" s="109">
        <f>((0.000996)*SQRT(A37)*(B11/B5))*1000</f>
        <v>76.64517785047299</v>
      </c>
      <c r="D37" s="109">
        <f>C37+B6</f>
        <v>76.64517785047299</v>
      </c>
      <c r="E37" s="110">
        <f t="shared" si="0"/>
        <v>-10.820702785208695</v>
      </c>
      <c r="F37" s="109">
        <f>2*B3*A37*B17*1000000</f>
        <v>139.90053722074117</v>
      </c>
      <c r="G37" s="110">
        <f>(1/(2*B3*A37*F37*1000000))*1000000000000</f>
        <v>189.60487483186446</v>
      </c>
      <c r="H37" s="109">
        <f t="shared" si="1"/>
        <v>837.1006480701484</v>
      </c>
      <c r="I37" s="110">
        <f t="shared" si="2"/>
        <v>7.167596887939817</v>
      </c>
      <c r="J37" s="109">
        <f>SQRT(B7*F37*H37)</f>
        <v>1605.1287388251997</v>
      </c>
      <c r="K37" s="109">
        <f t="shared" si="3"/>
        <v>21.40171651766933</v>
      </c>
      <c r="L37" s="109">
        <f t="shared" si="4"/>
        <v>49.9655</v>
      </c>
      <c r="M37" s="109">
        <f>(D11/L37)*100</f>
        <v>7.6657488932496936</v>
      </c>
    </row>
    <row r="38" spans="1:13" ht="12.75">
      <c r="A38" s="108">
        <v>7</v>
      </c>
      <c r="B38" s="109">
        <f>((0.0000000338)*(((A38*A38)*B12)*((A38*A38)*B12)))*1000</f>
        <v>12.815294426322007</v>
      </c>
      <c r="C38" s="109">
        <f>((0.000996)*SQRT(A38)*(B11/B5))*1000</f>
        <v>82.78625390537816</v>
      </c>
      <c r="D38" s="109">
        <f>C38+B6</f>
        <v>82.78625390537816</v>
      </c>
      <c r="E38" s="110">
        <f t="shared" si="0"/>
        <v>-8.727363376468935</v>
      </c>
      <c r="F38" s="109">
        <f>2*B3*A38*B17*1000000</f>
        <v>163.21729342419803</v>
      </c>
      <c r="G38" s="110">
        <f>(1/(2*B3*A38*F38*1000000))*1000000000000</f>
        <v>139.30154069279837</v>
      </c>
      <c r="H38" s="109">
        <f t="shared" si="1"/>
        <v>853.6331067458109</v>
      </c>
      <c r="I38" s="110">
        <f t="shared" si="2"/>
        <v>8.200244279049983</v>
      </c>
      <c r="J38" s="109">
        <f>SQRT(B7*F38*H38)</f>
        <v>1750.7738505379548</v>
      </c>
      <c r="K38" s="109">
        <f t="shared" si="3"/>
        <v>23.343651340506064</v>
      </c>
      <c r="L38" s="109">
        <f t="shared" si="4"/>
        <v>42.82757142857143</v>
      </c>
      <c r="M38" s="109">
        <f>(D11/L38)*100</f>
        <v>8.94337370879131</v>
      </c>
    </row>
    <row r="39" spans="1:13" ht="12.75">
      <c r="A39" s="108">
        <v>8</v>
      </c>
      <c r="B39" s="109">
        <f>((0.0000000338)*(((A39*A39)*B12)*((A39*A39)*B12)))*1000</f>
        <v>21.862326518206974</v>
      </c>
      <c r="C39" s="109">
        <f>((0.000996)*SQRT(A39)*(B11/B5))*1000</f>
        <v>88.50222812811465</v>
      </c>
      <c r="D39" s="109">
        <f>C39+B6</f>
        <v>88.50222812811465</v>
      </c>
      <c r="E39" s="110">
        <f t="shared" si="0"/>
        <v>-7.031332388316582</v>
      </c>
      <c r="F39" s="109">
        <f>2*B3*A39*B17*1000000</f>
        <v>186.5340496276549</v>
      </c>
      <c r="G39" s="110">
        <f>(1/(2*B3*A39*F39*1000000))*1000000000000</f>
        <v>106.65274209292376</v>
      </c>
      <c r="H39" s="109">
        <f t="shared" si="1"/>
        <v>845.0813317075798</v>
      </c>
      <c r="I39" s="110">
        <f t="shared" si="2"/>
        <v>9.466544461271107</v>
      </c>
      <c r="J39" s="109">
        <f>SQRT(B7*F39*H39)</f>
        <v>1862.257164706105</v>
      </c>
      <c r="K39" s="109">
        <f t="shared" si="3"/>
        <v>24.830095529414734</v>
      </c>
      <c r="L39" s="109">
        <f t="shared" si="4"/>
        <v>37.474125</v>
      </c>
      <c r="M39" s="109">
        <f>(D11/L39)*100</f>
        <v>10.220998524332925</v>
      </c>
    </row>
    <row r="40" spans="1:13" ht="12.75">
      <c r="A40" s="108">
        <v>9</v>
      </c>
      <c r="B40" s="109">
        <f>((0.0000000338)*(((A40*A40)*B12)*((A40*A40)*B12)))*1000</f>
        <v>35.019219796375964</v>
      </c>
      <c r="C40" s="109">
        <f>((0.000996)*SQRT(A40)*(B11/B5))*1000</f>
        <v>93.87078848926302</v>
      </c>
      <c r="D40" s="109">
        <f>C40+B6</f>
        <v>93.87078848926302</v>
      </c>
      <c r="E40" s="110">
        <f t="shared" si="0"/>
        <v>-5.659127855286926</v>
      </c>
      <c r="F40" s="109">
        <f>2*B3*A40*B17*1000000</f>
        <v>209.85080583111176</v>
      </c>
      <c r="G40" s="110">
        <f>(1/(2*B3*A40*F40*1000000))*1000000000000</f>
        <v>84.26883325860642</v>
      </c>
      <c r="H40" s="109">
        <f t="shared" si="1"/>
        <v>814.0693317594172</v>
      </c>
      <c r="I40" s="110">
        <f t="shared" si="2"/>
        <v>11.055569407766095</v>
      </c>
      <c r="J40" s="109">
        <f>SQRT(B7*F40*H40)</f>
        <v>1938.640842442556</v>
      </c>
      <c r="K40" s="109">
        <f t="shared" si="3"/>
        <v>25.84854456590075</v>
      </c>
      <c r="L40" s="109">
        <f t="shared" si="4"/>
        <v>33.31033333333333</v>
      </c>
      <c r="M40" s="109">
        <f>(D11/L40)*100</f>
        <v>11.498623339874541</v>
      </c>
    </row>
    <row r="41" spans="1:13" ht="12.75">
      <c r="A41" s="108">
        <v>10</v>
      </c>
      <c r="B41" s="109">
        <f>((0.0000000338)*(((A41*A41)*B12)*((A41*A41)*B12)))*1000</f>
        <v>53.37482060109125</v>
      </c>
      <c r="C41" s="109">
        <f>((0.000996)*SQRT(A41)*(B11/B5))*1000</f>
        <v>98.94849912732916</v>
      </c>
      <c r="D41" s="109">
        <f>C41+B6</f>
        <v>98.94849912732916</v>
      </c>
      <c r="E41" s="110">
        <f t="shared" si="0"/>
        <v>-4.5542996781849725</v>
      </c>
      <c r="F41" s="109">
        <f>2*B3*A41*B17*1000000</f>
        <v>233.16756203456862</v>
      </c>
      <c r="G41" s="110">
        <f>(1/(2*B3*A41*F41*1000000))*1000000000000</f>
        <v>68.25775493947121</v>
      </c>
      <c r="H41" s="109">
        <f t="shared" si="1"/>
        <v>765.370536994226</v>
      </c>
      <c r="I41" s="110">
        <f t="shared" si="2"/>
        <v>13.06556695959599</v>
      </c>
      <c r="J41" s="109">
        <f>SQRT(B7*F41*H41)</f>
        <v>1981.4415983340791</v>
      </c>
      <c r="K41" s="109">
        <f t="shared" si="3"/>
        <v>26.419221311121056</v>
      </c>
      <c r="L41" s="109">
        <f t="shared" si="4"/>
        <v>29.979300000000002</v>
      </c>
      <c r="M41" s="109">
        <f>(D11/L41)*100</f>
        <v>12.776248155416155</v>
      </c>
    </row>
    <row r="42" spans="1:13" ht="12.75">
      <c r="A42" s="108">
        <v>11</v>
      </c>
      <c r="B42" s="109">
        <f>((0.0000000338)*(((A42*A42)*B12)*((A42*A42)*B12)))*1000</f>
        <v>78.14607484205771</v>
      </c>
      <c r="C42" s="109">
        <f>((0.000996)*SQRT(A42)*(B11/B5))*1000</f>
        <v>103.77806139789935</v>
      </c>
      <c r="D42" s="109">
        <f>C42+B6</f>
        <v>103.77806139789935</v>
      </c>
      <c r="E42" s="110">
        <f t="shared" si="0"/>
        <v>-3.669831526510498</v>
      </c>
      <c r="F42" s="109">
        <f>2*B3*A42*B17*1000000</f>
        <v>256.4843182380255</v>
      </c>
      <c r="G42" s="110">
        <f>(1/(2*B3*A42*F42*1000000))*1000000000000</f>
        <v>56.41136771857125</v>
      </c>
      <c r="H42" s="109">
        <f t="shared" si="1"/>
        <v>704.9210828730386</v>
      </c>
      <c r="I42" s="110">
        <f t="shared" si="2"/>
        <v>15.604583643841986</v>
      </c>
      <c r="J42" s="109">
        <f>SQRT(B7*F42*H42)</f>
        <v>1994.398775007306</v>
      </c>
      <c r="K42" s="109">
        <f t="shared" si="3"/>
        <v>26.59198366676408</v>
      </c>
      <c r="L42" s="109">
        <f t="shared" si="4"/>
        <v>27.25390909090909</v>
      </c>
      <c r="M42" s="109">
        <f>(D11/L42)*100</f>
        <v>14.053872970957773</v>
      </c>
    </row>
    <row r="43" spans="1:13" ht="12.75">
      <c r="A43" s="108">
        <v>12</v>
      </c>
      <c r="B43" s="109">
        <f>((0.0000000338)*(((A43*A43)*B12)*((A43*A43)*B12)))*1000</f>
        <v>110.6780279984228</v>
      </c>
      <c r="C43" s="109">
        <f>((0.000996)*SQRT(A43)*(B11/B5))*1000</f>
        <v>108.39265000663684</v>
      </c>
      <c r="D43" s="109">
        <f>C43+B6</f>
        <v>108.39265000663684</v>
      </c>
      <c r="E43" s="110">
        <f t="shared" si="0"/>
        <v>-2.9652283984163352</v>
      </c>
      <c r="F43" s="109">
        <f>2*B3*A43*B17*1000000</f>
        <v>279.80107444148234</v>
      </c>
      <c r="G43" s="110">
        <f>(1/(2*B3*A43*F43*1000000))*1000000000000</f>
        <v>47.401218707966116</v>
      </c>
      <c r="H43" s="109">
        <f t="shared" si="1"/>
        <v>638.609139729371</v>
      </c>
      <c r="I43" s="110">
        <f t="shared" si="2"/>
        <v>18.79083660638704</v>
      </c>
      <c r="J43" s="109">
        <f>SQRT(B7*F43*H43)</f>
        <v>1982.684421630793</v>
      </c>
      <c r="K43" s="109">
        <f t="shared" si="3"/>
        <v>26.43579228841057</v>
      </c>
      <c r="L43" s="109">
        <f t="shared" si="4"/>
        <v>24.98275</v>
      </c>
      <c r="M43" s="109">
        <f>(D11/L43)*100</f>
        <v>15.331497786499387</v>
      </c>
    </row>
    <row r="44" spans="1:13" ht="12.75">
      <c r="A44" s="108">
        <v>13</v>
      </c>
      <c r="B44" s="109">
        <f>((0.0000000338)*(((A44*A44)*B12)*((A44*A44)*B12)))*1000</f>
        <v>152.44382511877672</v>
      </c>
      <c r="C44" s="109">
        <f>((0.000996)*SQRT(A44)*(B11/B5))*1000</f>
        <v>112.81864705542421</v>
      </c>
      <c r="D44" s="109">
        <f>C44+B6</f>
        <v>112.81864705542421</v>
      </c>
      <c r="E44" s="110">
        <f t="shared" si="0"/>
        <v>-2.405659752658103</v>
      </c>
      <c r="F44" s="109">
        <f>2*B3*A44*B17*1000000</f>
        <v>303.1178306449392</v>
      </c>
      <c r="G44" s="110">
        <f>(1/(2*B3*A44*F44*1000000))*1000000000000</f>
        <v>40.389204106195976</v>
      </c>
      <c r="H44" s="109">
        <f t="shared" si="1"/>
        <v>571.3545307793827</v>
      </c>
      <c r="I44" s="110">
        <f t="shared" si="2"/>
        <v>22.752948125337777</v>
      </c>
      <c r="J44" s="109">
        <f>SQRT(B7*F44*H44)</f>
        <v>1951.9555347850728</v>
      </c>
      <c r="K44" s="109">
        <f t="shared" si="3"/>
        <v>26.026073797134302</v>
      </c>
      <c r="L44" s="109">
        <f t="shared" si="4"/>
        <v>23.061</v>
      </c>
      <c r="M44" s="109">
        <f>(D11/L44)*100</f>
        <v>16.609122602041005</v>
      </c>
    </row>
    <row r="45" spans="1:13" ht="12.75">
      <c r="A45" s="108">
        <v>14</v>
      </c>
      <c r="B45" s="109">
        <f>((0.0000000338)*(((A45*A45)*B12)*((A45*A45)*B12)))*1000</f>
        <v>205.0447108211521</v>
      </c>
      <c r="C45" s="109">
        <f>((0.000996)*SQRT(A45)*(B11/B5))*1000</f>
        <v>117.0774430510484</v>
      </c>
      <c r="D45" s="109">
        <f>C45+B6</f>
        <v>117.0774430510484</v>
      </c>
      <c r="E45" s="110">
        <f t="shared" si="0"/>
        <v>-1.9617202330861292</v>
      </c>
      <c r="F45" s="109">
        <f>2*B3*A45*B17*1000000</f>
        <v>326.43458684839607</v>
      </c>
      <c r="G45" s="110">
        <f>(1/(2*B3*A45*F45*1000000))*1000000000000</f>
        <v>34.82538517319959</v>
      </c>
      <c r="H45" s="109">
        <f t="shared" si="1"/>
        <v>506.69378514385954</v>
      </c>
      <c r="I45" s="110">
        <f t="shared" si="2"/>
        <v>27.630100092948933</v>
      </c>
      <c r="J45" s="109">
        <f>SQRT(B7*F45*H45)</f>
        <v>1907.577595031428</v>
      </c>
      <c r="K45" s="109">
        <f t="shared" si="3"/>
        <v>25.434367933752373</v>
      </c>
      <c r="L45" s="109">
        <f t="shared" si="4"/>
        <v>21.413785714285716</v>
      </c>
      <c r="M45" s="109">
        <f>(D11/L45)*100</f>
        <v>17.88674741758262</v>
      </c>
    </row>
    <row r="46" spans="1:13" ht="12.75">
      <c r="A46" s="108">
        <v>15</v>
      </c>
      <c r="B46" s="109">
        <f>((0.0000000338)*(((A46*A46)*B12)*((A46*A46)*B12)))*1000</f>
        <v>270.21002929302443</v>
      </c>
      <c r="C46" s="109">
        <f>((0.000996)*SQRT(A46)*(B11/B5))*1000</f>
        <v>121.18666683809151</v>
      </c>
      <c r="D46" s="109">
        <f>C46+B6</f>
        <v>121.18666683809151</v>
      </c>
      <c r="E46" s="110">
        <f t="shared" si="0"/>
        <v>-1.609156908139937</v>
      </c>
      <c r="F46" s="109">
        <f>2*B3*A46*B17*1000000</f>
        <v>349.7513430518529</v>
      </c>
      <c r="G46" s="110">
        <f>(1/(2*B3*A46*F46*1000000))*1000000000000</f>
        <v>30.336779973098313</v>
      </c>
      <c r="H46" s="109">
        <f t="shared" si="1"/>
        <v>446.79904877721293</v>
      </c>
      <c r="I46" s="110">
        <f t="shared" si="2"/>
        <v>33.572139513393275</v>
      </c>
      <c r="J46" s="109">
        <f>SQRT(B7*F46*H46)</f>
        <v>1854.1597780263307</v>
      </c>
      <c r="K46" s="109">
        <f t="shared" si="3"/>
        <v>24.722130373684408</v>
      </c>
      <c r="L46" s="109">
        <f t="shared" si="4"/>
        <v>19.9862</v>
      </c>
      <c r="M46" s="109">
        <f>(D11/L46)*100</f>
        <v>19.164372233124237</v>
      </c>
    </row>
    <row r="47" spans="1:13" ht="12.75">
      <c r="A47" s="108">
        <v>16</v>
      </c>
      <c r="B47" s="109">
        <f>((0.0000000338)*(((A47*A47)*B12)*((A47*A47)*B12)))*1000</f>
        <v>349.7972242913116</v>
      </c>
      <c r="C47" s="109">
        <f>((0.000996)*SQRT(A47)*(B11/B5))*1000</f>
        <v>125.16105131901733</v>
      </c>
      <c r="D47" s="109">
        <f>C47+B6</f>
        <v>125.16105131901733</v>
      </c>
      <c r="E47" s="110">
        <f t="shared" si="0"/>
        <v>-1.3283910022014358</v>
      </c>
      <c r="F47" s="109">
        <f>2*B3*A47*B17*1000000</f>
        <v>373.0680992553098</v>
      </c>
      <c r="G47" s="110">
        <f>(1/(2*B3*A47*F47*1000000))*1000000000000</f>
        <v>26.66318552323094</v>
      </c>
      <c r="H47" s="109">
        <f t="shared" si="1"/>
        <v>392.73776078110376</v>
      </c>
      <c r="I47" s="110">
        <f t="shared" si="2"/>
        <v>40.73965276009647</v>
      </c>
      <c r="J47" s="109">
        <f>SQRT(B7*F47*H47)</f>
        <v>1795.3814241683144</v>
      </c>
      <c r="K47" s="109">
        <f t="shared" si="3"/>
        <v>23.938418988910858</v>
      </c>
      <c r="L47" s="109">
        <f t="shared" si="4"/>
        <v>18.7370625</v>
      </c>
      <c r="M47" s="109">
        <f>(D11/L47)*100</f>
        <v>20.44199704866585</v>
      </c>
    </row>
    <row r="48" spans="1:13" ht="12.75">
      <c r="A48" s="108">
        <v>17</v>
      </c>
      <c r="B48" s="109">
        <f>((0.0000000338)*(((A48*A48)*B12)*((A48*A48)*B12)))*1000</f>
        <v>445.79183914237416</v>
      </c>
      <c r="C48" s="109">
        <f>((0.000996)*SQRT(A48)*(B11/B5))*1000</f>
        <v>129.01305870041529</v>
      </c>
      <c r="D48" s="109">
        <f>C48+B6</f>
        <v>129.01305870041529</v>
      </c>
      <c r="E48" s="110">
        <f t="shared" si="0"/>
        <v>-1.1038834621359563</v>
      </c>
      <c r="F48" s="109">
        <f>2*B3*A48*B17*1000000</f>
        <v>396.3848554587667</v>
      </c>
      <c r="G48" s="110">
        <f>(1/(2*B3*A48*F48*1000000))*1000000000000</f>
        <v>23.61860032507654</v>
      </c>
      <c r="H48" s="109">
        <f t="shared" si="1"/>
        <v>344.79947626262134</v>
      </c>
      <c r="I48" s="110">
        <f t="shared" si="2"/>
        <v>49.304019206374065</v>
      </c>
      <c r="J48" s="109">
        <f>SQRT(B7*F48*H48)</f>
        <v>1734.016260688921</v>
      </c>
      <c r="K48" s="109">
        <f t="shared" si="3"/>
        <v>23.120216809185614</v>
      </c>
      <c r="L48" s="109">
        <f t="shared" si="4"/>
        <v>17.634882352941176</v>
      </c>
      <c r="M48" s="109">
        <f>(D11/L48)*100</f>
        <v>21.71962186420747</v>
      </c>
    </row>
    <row r="49" spans="1:13" ht="12.75">
      <c r="A49" s="108">
        <v>18</v>
      </c>
      <c r="B49" s="109">
        <f>((0.0000000338)*(((A49*A49)*B12)*((A49*A49)*B12)))*1000</f>
        <v>560.3075167420154</v>
      </c>
      <c r="C49" s="109">
        <f>((0.000996)*SQRT(A49)*(B11/B5))*1000</f>
        <v>132.75334219217194</v>
      </c>
      <c r="D49" s="109">
        <f>C49+B6</f>
        <v>132.75334219217194</v>
      </c>
      <c r="E49" s="110">
        <f t="shared" si="0"/>
        <v>-0.9234492373935324</v>
      </c>
      <c r="F49" s="109">
        <f>2*B3*A49*B17*1000000</f>
        <v>419.7016116622235</v>
      </c>
      <c r="G49" s="110">
        <f>(1/(2*B3*A49*F49*1000000))*1000000000000</f>
        <v>21.067208314651605</v>
      </c>
      <c r="H49" s="109">
        <f t="shared" si="1"/>
        <v>302.7884248921913</v>
      </c>
      <c r="I49" s="110">
        <f t="shared" si="2"/>
        <v>59.44745082778165</v>
      </c>
      <c r="J49" s="109">
        <f>SQRT(B7*F49*H49)</f>
        <v>1672.0578274205152</v>
      </c>
      <c r="K49" s="109">
        <f t="shared" si="3"/>
        <v>22.29410436560687</v>
      </c>
      <c r="L49" s="109">
        <f t="shared" si="4"/>
        <v>16.655166666666666</v>
      </c>
      <c r="M49" s="109">
        <f>(D11/L49)*100</f>
        <v>22.997246679749082</v>
      </c>
    </row>
    <row r="50" spans="1:13" ht="12.75">
      <c r="A50" s="108">
        <v>19</v>
      </c>
      <c r="B50" s="109">
        <f>((0.0000000338)*(((A50*A50)*B12)*((A50*A50)*B12)))*1000</f>
        <v>695.5859995554812</v>
      </c>
      <c r="C50" s="109">
        <f>((0.000996)*SQRT(A50)*(B11/B5))*1000</f>
        <v>136.39109359172622</v>
      </c>
      <c r="D50" s="109">
        <f>C50+B6</f>
        <v>136.39109359172622</v>
      </c>
      <c r="E50" s="110">
        <f t="shared" si="0"/>
        <v>-0.7776053687785172</v>
      </c>
      <c r="F50" s="109">
        <f>2*B3*A50*B17*1000000</f>
        <v>443.0183678656804</v>
      </c>
      <c r="G50" s="110">
        <f>(1/(2*B3*A50*F50*1000000))*1000000000000</f>
        <v>18.90796535719424</v>
      </c>
      <c r="H50" s="109">
        <f t="shared" si="1"/>
        <v>266.24433023139386</v>
      </c>
      <c r="I50" s="110">
        <f t="shared" si="2"/>
        <v>71.36302201623236</v>
      </c>
      <c r="J50" s="109">
        <f>SQRT(B7*F50*H50)</f>
        <v>1610.8770374914634</v>
      </c>
      <c r="K50" s="109">
        <f t="shared" si="3"/>
        <v>21.47836049988618</v>
      </c>
      <c r="L50" s="109">
        <f t="shared" si="4"/>
        <v>15.778578947368421</v>
      </c>
      <c r="M50" s="109">
        <f>(D11/L50)*100</f>
        <v>24.274871495290697</v>
      </c>
    </row>
    <row r="51" spans="1:13" ht="12.75">
      <c r="A51" s="108">
        <v>20</v>
      </c>
      <c r="B51" s="109">
        <f>((0.0000000338)*(((A51*A51)*B12)*((A51*A51)*B12)))*1000</f>
        <v>853.99712961746</v>
      </c>
      <c r="C51" s="109">
        <f>((0.000996)*SQRT(A51)*(B11/B5))*1000</f>
        <v>139.93430944233126</v>
      </c>
      <c r="D51" s="109">
        <f>C51+B6</f>
        <v>139.93430944233126</v>
      </c>
      <c r="E51" s="110">
        <f t="shared" si="0"/>
        <v>-0.6590001701618299</v>
      </c>
      <c r="F51" s="109">
        <f>2*B3*A51*B17*1000000</f>
        <v>466.33512406913724</v>
      </c>
      <c r="G51" s="110">
        <f>(1/(2*B3*A51*F51*1000000))*1000000000000</f>
        <v>17.064438734867803</v>
      </c>
      <c r="H51" s="109">
        <f t="shared" si="1"/>
        <v>234.59119298523578</v>
      </c>
      <c r="I51" s="110">
        <f t="shared" si="2"/>
        <v>85.25469240978163</v>
      </c>
      <c r="J51" s="109">
        <f>SQRT(B7*F51*H51)</f>
        <v>1551.3730975811493</v>
      </c>
      <c r="K51" s="109">
        <f t="shared" si="3"/>
        <v>20.684974634415322</v>
      </c>
      <c r="L51" s="109">
        <f t="shared" si="4"/>
        <v>14.989650000000001</v>
      </c>
      <c r="M51" s="109">
        <f>(D11/L51)*100</f>
        <v>25.55249631083231</v>
      </c>
    </row>
    <row r="52" spans="1:13" ht="12.75">
      <c r="A52" s="108">
        <v>21</v>
      </c>
      <c r="B52" s="109">
        <f>((0.0000000338)*(((A52*A52)*B12)*((A52*A52)*B12)))*1000</f>
        <v>1038.0388485320825</v>
      </c>
      <c r="C52" s="109">
        <f>((0.000996)*SQRT(A52)*(B11/B5))*1000</f>
        <v>143.38999793241237</v>
      </c>
      <c r="D52" s="109">
        <f>C52+B6</f>
        <v>143.38999793241237</v>
      </c>
      <c r="E52" s="110">
        <f t="shared" si="0"/>
        <v>-0.5619396338427108</v>
      </c>
      <c r="F52" s="109">
        <f>2*B3*A52*B17*1000000</f>
        <v>489.6518802725941</v>
      </c>
      <c r="G52" s="110">
        <f>(1/(2*B3*A52*F52*1000000))*1000000000000</f>
        <v>15.477948965866485</v>
      </c>
      <c r="H52" s="109">
        <f t="shared" si="1"/>
        <v>207.22867980492867</v>
      </c>
      <c r="I52" s="110">
        <f t="shared" si="2"/>
        <v>101.33732463946596</v>
      </c>
      <c r="J52" s="109">
        <f>SQRT(B7*F52*H52)</f>
        <v>1494.101094197978</v>
      </c>
      <c r="K52" s="109">
        <f t="shared" si="3"/>
        <v>19.921347922639708</v>
      </c>
      <c r="L52" s="109">
        <f t="shared" si="4"/>
        <v>14.275857142857143</v>
      </c>
      <c r="M52" s="109">
        <f>(D11/L52)*100</f>
        <v>26.83012112637393</v>
      </c>
    </row>
    <row r="53" spans="1:13" ht="12.75">
      <c r="A53" s="108">
        <v>22</v>
      </c>
      <c r="B53" s="109">
        <f>((0.0000000338)*(((A53*A53)*B12)*((A53*A53)*B12)))*1000</f>
        <v>1250.3371974729234</v>
      </c>
      <c r="C53" s="109">
        <f>((0.000996)*SQRT(A53)*(B11/B5))*1000</f>
        <v>146.76434190569702</v>
      </c>
      <c r="D53" s="109">
        <f>C53+B6</f>
        <v>146.76434190569702</v>
      </c>
      <c r="E53" s="110">
        <f t="shared" si="0"/>
        <v>-0.4820081956385457</v>
      </c>
      <c r="F53" s="109">
        <f>2*B3*A53*B17*1000000</f>
        <v>512.968636476051</v>
      </c>
      <c r="G53" s="110">
        <f>(1/(2*B3*A53*F53*1000000))*1000000000000</f>
        <v>14.102841929642812</v>
      </c>
      <c r="H53" s="109">
        <f t="shared" si="1"/>
        <v>183.583162002742</v>
      </c>
      <c r="I53" s="110">
        <f t="shared" si="2"/>
        <v>119.83669831153365</v>
      </c>
      <c r="J53" s="109">
        <f>SQRT(B7*F53*H53)</f>
        <v>1439.3723960237628</v>
      </c>
      <c r="K53" s="109">
        <f t="shared" si="3"/>
        <v>19.191631946983502</v>
      </c>
      <c r="L53" s="109">
        <f t="shared" si="4"/>
        <v>13.626954545454545</v>
      </c>
      <c r="M53" s="109">
        <f>(D11/L53)*100</f>
        <v>28.107745941915546</v>
      </c>
    </row>
    <row r="54" spans="1:13" ht="12.75">
      <c r="A54" s="108">
        <v>23</v>
      </c>
      <c r="B54" s="109">
        <f>((0.0000000338)*(((A54*A54)*B12)*((A54*A54)*B12)))*1000</f>
        <v>1493.6463171829973</v>
      </c>
      <c r="C54" s="109">
        <f>((0.000996)*SQRT(A54)*(B11/B5))*1000</f>
        <v>150.0628288516761</v>
      </c>
      <c r="D54" s="109">
        <f>C54+B6</f>
        <v>150.0628288516761</v>
      </c>
      <c r="E54" s="110">
        <f t="shared" si="0"/>
        <v>-0.4157719929883249</v>
      </c>
      <c r="F54" s="109">
        <f>2*B3*A54*B17*1000000</f>
        <v>536.2853926795078</v>
      </c>
      <c r="G54" s="110">
        <f>(1/(2*B3*A54*F54*1000000))*1000000000000</f>
        <v>12.903167285344274</v>
      </c>
      <c r="H54" s="109">
        <f t="shared" si="1"/>
        <v>163.13269107653764</v>
      </c>
      <c r="I54" s="110">
        <f t="shared" si="2"/>
        <v>140.9895211574055</v>
      </c>
      <c r="J54" s="109">
        <f>SQRT(B7*F54*H54)</f>
        <v>1387.3301497634254</v>
      </c>
      <c r="K54" s="109">
        <f t="shared" si="3"/>
        <v>18.497735330179008</v>
      </c>
      <c r="L54" s="109">
        <f t="shared" si="4"/>
        <v>13.034478260869566</v>
      </c>
      <c r="M54" s="109">
        <f>(D11/L54)*100</f>
        <v>29.385370757457157</v>
      </c>
    </row>
    <row r="55" spans="1:13" ht="12.75">
      <c r="A55" s="108">
        <v>24</v>
      </c>
      <c r="B55" s="109">
        <f>((0.0000000338)*(((A55*A55)*B12)*((A55*A55)*B12)))*1000</f>
        <v>1770.848447974765</v>
      </c>
      <c r="C55" s="109">
        <f>((0.000996)*SQRT(A55)*(B11/B5))*1000</f>
        <v>153.29035570094598</v>
      </c>
      <c r="D55" s="109">
        <f>C55+B6</f>
        <v>153.29035570094598</v>
      </c>
      <c r="E55" s="110">
        <f t="shared" si="0"/>
        <v>-0.3605500283293813</v>
      </c>
      <c r="F55" s="109">
        <f>2*B3*A55*B17*1000000</f>
        <v>559.6021488829647</v>
      </c>
      <c r="G55" s="110">
        <f>(1/(2*B3*A55*F55*1000000))*1000000000000</f>
        <v>11.850304676991529</v>
      </c>
      <c r="H55" s="109">
        <f t="shared" si="1"/>
        <v>145.41626306115452</v>
      </c>
      <c r="I55" s="110">
        <f t="shared" si="2"/>
        <v>165.04343802251915</v>
      </c>
      <c r="J55" s="109">
        <f>SQRT(B7*F55*H55)</f>
        <v>1338.0043245125016</v>
      </c>
      <c r="K55" s="109">
        <f t="shared" si="3"/>
        <v>17.84005766016669</v>
      </c>
      <c r="L55" s="109">
        <f t="shared" si="4"/>
        <v>12.491375</v>
      </c>
      <c r="M55" s="109">
        <f>(D11/L55)*100</f>
        <v>30.662995572998774</v>
      </c>
    </row>
    <row r="56" spans="1:13" ht="12.75">
      <c r="A56" s="108">
        <v>25</v>
      </c>
      <c r="B56" s="109">
        <f>((0.0000000338)*(((A56*A56)*B12)*((A56*A56)*B12)))*1000</f>
        <v>2084.9539297301267</v>
      </c>
      <c r="C56" s="109">
        <f>((0.000996)*SQRT(A56)*(B11/B5))*1000</f>
        <v>156.4513141487717</v>
      </c>
      <c r="D56" s="109">
        <f>C56+B6</f>
        <v>156.4513141487717</v>
      </c>
      <c r="E56" s="110">
        <f t="shared" si="0"/>
        <v>-0.31423920642240505</v>
      </c>
      <c r="F56" s="109">
        <f>2*B3*A56*B17*1000000</f>
        <v>582.9189050864215</v>
      </c>
      <c r="G56" s="110">
        <f>(1/(2*B3*A56*F56*1000000))*1000000000000</f>
        <v>10.921240790315393</v>
      </c>
      <c r="H56" s="109">
        <f t="shared" si="1"/>
        <v>130.0342512087734</v>
      </c>
      <c r="I56" s="110">
        <f t="shared" si="2"/>
        <v>192.2570381849767</v>
      </c>
      <c r="J56" s="109">
        <f>SQRT(B7*F56*H56)</f>
        <v>1291.3509644723697</v>
      </c>
      <c r="K56" s="109">
        <f t="shared" si="3"/>
        <v>17.218012859631596</v>
      </c>
      <c r="L56" s="109">
        <f t="shared" si="4"/>
        <v>11.99172</v>
      </c>
      <c r="M56" s="109">
        <f>(D11/L56)*100</f>
        <v>31.940620388540385</v>
      </c>
    </row>
    <row r="57" spans="1:13" ht="12.75">
      <c r="A57" s="108">
        <v>26</v>
      </c>
      <c r="B57" s="109">
        <f>((0.0000000338)*(((A57*A57)*B12)*((A57*A57)*B12)))*1000</f>
        <v>2439.1012019004274</v>
      </c>
      <c r="C57" s="109">
        <f>((0.000996)*SQRT(A57)*(B11/B5))*1000</f>
        <v>159.54966075436434</v>
      </c>
      <c r="D57" s="109">
        <f>C57+B6</f>
        <v>159.54966075436434</v>
      </c>
      <c r="E57" s="110">
        <f t="shared" si="0"/>
        <v>-0.2751811431402187</v>
      </c>
      <c r="F57" s="109">
        <f>2*B3*A57*B17*1000000</f>
        <v>606.2356612898784</v>
      </c>
      <c r="G57" s="110">
        <f>(1/(2*B3*A57*F57*1000000))*1000000000000</f>
        <v>10.097301026548994</v>
      </c>
      <c r="H57" s="109">
        <f t="shared" si="1"/>
        <v>116.64430762941078</v>
      </c>
      <c r="I57" s="110">
        <f t="shared" si="2"/>
        <v>222.8998613683257</v>
      </c>
      <c r="J57" s="109">
        <f>SQRT(B7*F57*H57)</f>
        <v>1247.279702942026</v>
      </c>
      <c r="K57" s="109">
        <f t="shared" si="3"/>
        <v>16.630396039227012</v>
      </c>
      <c r="L57" s="109">
        <f t="shared" si="4"/>
        <v>11.5305</v>
      </c>
      <c r="M57" s="109">
        <f>(D11/L57)*100</f>
        <v>33.21824520408201</v>
      </c>
    </row>
    <row r="58" spans="1:13" ht="12.75">
      <c r="A58" s="108">
        <v>27</v>
      </c>
      <c r="B58" s="109">
        <f>((0.0000000338)*(((A58*A58)*B12)*((A58*A58)*B12)))*1000</f>
        <v>2836.556803506453</v>
      </c>
      <c r="C58" s="109">
        <f>((0.000996)*SQRT(A58)*(B11/B5))*1000</f>
        <v>162.58897500995528</v>
      </c>
      <c r="D58" s="109">
        <f>C58+B6</f>
        <v>162.58897500995528</v>
      </c>
      <c r="E58" s="110">
        <f t="shared" si="0"/>
        <v>-0.24206090927295054</v>
      </c>
      <c r="F58" s="109">
        <f>2*B3*A58*B17*1000000</f>
        <v>629.5524174933353</v>
      </c>
      <c r="G58" s="110">
        <f>(1/(2*B3*A58*F58*1000000))*1000000000000</f>
        <v>9.363203695400713</v>
      </c>
      <c r="H58" s="109">
        <f t="shared" si="1"/>
        <v>104.9552879361464</v>
      </c>
      <c r="I58" s="110">
        <f t="shared" si="2"/>
        <v>257.25240272244775</v>
      </c>
      <c r="J58" s="109">
        <f>SQRT(B7*F58*H58)</f>
        <v>1205.6727646737406</v>
      </c>
      <c r="K58" s="109">
        <f t="shared" si="3"/>
        <v>16.075636862316543</v>
      </c>
      <c r="L58" s="109">
        <f t="shared" si="4"/>
        <v>11.103444444444445</v>
      </c>
      <c r="M58" s="109">
        <f>(D11/L58)*100</f>
        <v>34.495870019623624</v>
      </c>
    </row>
    <row r="59" spans="1:13" ht="12.75">
      <c r="A59" s="108">
        <v>28</v>
      </c>
      <c r="B59" s="109">
        <f>((0.0000000338)*(((A59*A59)*B12)*((A59*A59)*B12)))*1000</f>
        <v>3280.7153731384337</v>
      </c>
      <c r="C59" s="109">
        <f>((0.000996)*SQRT(A59)*(B11/B5))*1000</f>
        <v>165.57250781075632</v>
      </c>
      <c r="D59" s="109">
        <f>C59+B6</f>
        <v>165.57250781075632</v>
      </c>
      <c r="E59" s="110">
        <f t="shared" si="0"/>
        <v>-0.21382999132728533</v>
      </c>
      <c r="F59" s="109">
        <f>2*B3*A59*B17*1000000</f>
        <v>652.8691736967921</v>
      </c>
      <c r="G59" s="110">
        <f>(1/(2*B3*A59*F59*1000000))*1000000000000</f>
        <v>8.706346293299898</v>
      </c>
      <c r="H59" s="109">
        <f t="shared" si="1"/>
        <v>94.72063800963957</v>
      </c>
      <c r="I59" s="110">
        <f t="shared" si="2"/>
        <v>295.6061169810795</v>
      </c>
      <c r="J59" s="109">
        <f>SQRT(B7*F59*H59)</f>
        <v>1166.397900686768</v>
      </c>
      <c r="K59" s="109">
        <f t="shared" si="3"/>
        <v>15.551972009156907</v>
      </c>
      <c r="L59" s="109">
        <f t="shared" si="4"/>
        <v>10.706892857142858</v>
      </c>
      <c r="M59" s="109">
        <f>(D11/L59)*100</f>
        <v>35.77349483516524</v>
      </c>
    </row>
    <row r="60" spans="1:13" ht="12.75">
      <c r="A60" s="108">
        <v>29</v>
      </c>
      <c r="B60" s="109">
        <f>((0.0000000338)*(((A60*A60)*B12)*((A60*A60)*B12)))*1000</f>
        <v>3775.0996489560416</v>
      </c>
      <c r="C60" s="109">
        <f>((0.000996)*SQRT(A60)*(B11/B5))*1000</f>
        <v>168.50322219678193</v>
      </c>
      <c r="D60" s="109">
        <f>C60+B6</f>
        <v>168.50322219678193</v>
      </c>
      <c r="E60" s="110">
        <f t="shared" si="0"/>
        <v>-0.18964754213894125</v>
      </c>
      <c r="F60" s="109">
        <f>2*B3*A60*B17*1000000</f>
        <v>676.1859299002491</v>
      </c>
      <c r="G60" s="110">
        <f>(1/(2*B3*A60*F60*1000000))*1000000000000</f>
        <v>8.116260991613697</v>
      </c>
      <c r="H60" s="109">
        <f t="shared" si="1"/>
        <v>85.73200091298511</v>
      </c>
      <c r="I60" s="110">
        <f t="shared" si="2"/>
        <v>338.26342195645185</v>
      </c>
      <c r="J60" s="109">
        <f>SQRT(B7*F60*H60)</f>
        <v>1129.3170505709318</v>
      </c>
      <c r="K60" s="109">
        <f t="shared" si="3"/>
        <v>15.05756067427909</v>
      </c>
      <c r="L60" s="109">
        <f t="shared" si="4"/>
        <v>10.337689655172413</v>
      </c>
      <c r="M60" s="109">
        <f>(D11/L60)*100</f>
        <v>37.05111965070685</v>
      </c>
    </row>
    <row r="61" spans="1:13" ht="12.75">
      <c r="A61" s="108">
        <v>30</v>
      </c>
      <c r="B61" s="109">
        <f>((0.0000000338)*(((A61*A61)*B12)*((A61*A61)*B12)))*1000</f>
        <v>4323.360468688391</v>
      </c>
      <c r="C61" s="109">
        <f>((0.000996)*SQRT(A61)*(B11/B5))*1000</f>
        <v>171.38382782121883</v>
      </c>
      <c r="D61" s="109">
        <f>C61+B6</f>
        <v>171.38382782121883</v>
      </c>
      <c r="E61" s="110">
        <f t="shared" si="0"/>
        <v>-0.16883542801203655</v>
      </c>
      <c r="F61" s="109">
        <f>2*B3*A61*B17*1000000</f>
        <v>699.5026861037059</v>
      </c>
      <c r="G61" s="110">
        <f>(1/(2*B3*A61*F61*1000000))*1000000000000</f>
        <v>7.584194993274578</v>
      </c>
      <c r="H61" s="109">
        <f t="shared" si="1"/>
        <v>77.81340160405834</v>
      </c>
      <c r="I61" s="110">
        <f t="shared" si="2"/>
        <v>385.5377014958225</v>
      </c>
      <c r="J61" s="109">
        <f>SQRT(B7*F61*H61)</f>
        <v>1094.2920248324554</v>
      </c>
      <c r="K61" s="109">
        <f t="shared" si="3"/>
        <v>14.590560331099406</v>
      </c>
      <c r="L61" s="109">
        <f t="shared" si="4"/>
        <v>9.9931</v>
      </c>
      <c r="M61" s="109">
        <f>(D11/L61)*100</f>
        <v>38.32874446624847</v>
      </c>
    </row>
  </sheetData>
  <sheetProtection password="C5A0" sheet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Magnetic Loop Antenna Calculator</dc:title>
  <dc:subject/>
  <dc:creator>Stephen R. Yates - AA5TB</dc:creator>
  <cp:keywords/>
  <dc:description/>
  <cp:lastModifiedBy>radiusmk </cp:lastModifiedBy>
  <cp:lastPrinted>2005-09-21T14:58:07Z</cp:lastPrinted>
  <dcterms:created xsi:type="dcterms:W3CDTF">2004-04-05T15:56:00Z</dcterms:created>
  <dcterms:modified xsi:type="dcterms:W3CDTF">2012-09-20T19:58:03Z</dcterms:modified>
  <cp:category/>
  <cp:version/>
  <cp:contentType/>
  <cp:contentStatus/>
  <cp:revision>1</cp:revision>
</cp:coreProperties>
</file>